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date1904="1" codeName="ThisWorkbook"/>
  <mc:AlternateContent xmlns:mc="http://schemas.openxmlformats.org/markup-compatibility/2006">
    <mc:Choice Requires="x15">
      <x15ac:absPath xmlns:x15ac="http://schemas.microsoft.com/office/spreadsheetml/2010/11/ac" url="D:\working\waccache\BL6PEPF00009C23\EXCELCNV\35b63ba2-5587-49b7-bea3-f1680794641c\"/>
    </mc:Choice>
  </mc:AlternateContent>
  <xr:revisionPtr revIDLastSave="0" documentId="8_{B319341A-E1EE-4460-BAE5-BDE67144E4CF}" xr6:coauthVersionLast="47" xr6:coauthVersionMax="47" xr10:uidLastSave="{00000000-0000-0000-0000-000000000000}"/>
  <bookViews>
    <workbookView xWindow="-60" yWindow="-60" windowWidth="15480" windowHeight="11640" xr2:uid="{5F0CE283-E6BB-4DC1-A134-DFDDC2A0E7A8}"/>
  </bookViews>
  <sheets>
    <sheet name="Input Sheet(assumtion)" sheetId="1" r:id="rId1"/>
    <sheet name="DCFValuation" sheetId="7" r:id="rId2"/>
    <sheet name="Relative Valuation" sheetId="9" r:id="rId3"/>
    <sheet name="Holding in Other firms" sheetId="10" r:id="rId4"/>
    <sheet name="Operating Leases" sheetId="2" r:id="rId5"/>
    <sheet name="R&amp;D" sheetId="3" r:id="rId6"/>
    <sheet name="Other Expenses to Capitalize" sheetId="4" r:id="rId7"/>
    <sheet name="Revenue Growth Numbers" sheetId="6" r:id="rId8"/>
    <sheet name="Options" sheetId="5" r:id="rId9"/>
    <sheet name="Industry Averages" sheetId="8" r:id="rId10"/>
  </sheets>
  <calcPr calcId="191028" iterate="1" calcCompleted="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A12" i="3"/>
  <c r="A13" i="3" s="1"/>
  <c r="A14" i="3" s="1"/>
  <c r="A15" i="3" s="1"/>
  <c r="A16" i="3" s="1"/>
  <c r="A17" i="3" s="1"/>
  <c r="A18" i="3" s="1"/>
  <c r="A19" i="3" s="1"/>
  <c r="A20" i="3" s="1"/>
  <c r="D46" i="1"/>
  <c r="C39" i="1"/>
  <c r="B26" i="1"/>
  <c r="B12" i="1"/>
  <c r="C11" i="1"/>
  <c r="B11" i="1"/>
  <c r="C10" i="1"/>
  <c r="B10" i="1"/>
  <c r="B6" i="1"/>
  <c r="C2" i="7"/>
  <c r="D2" i="7"/>
  <c r="E2" i="7"/>
  <c r="F2" i="7"/>
  <c r="G2" i="7"/>
  <c r="H2" i="7"/>
  <c r="I2" i="7"/>
  <c r="J2" i="7"/>
  <c r="K2" i="7"/>
  <c r="L2" i="7"/>
  <c r="M2" i="7"/>
  <c r="B3" i="7"/>
  <c r="C3" i="7"/>
  <c r="D3" i="7"/>
  <c r="E3" i="7"/>
  <c r="F3" i="7"/>
  <c r="G3" i="7"/>
  <c r="H3" i="7"/>
  <c r="I3" i="7"/>
  <c r="J3" i="7"/>
  <c r="K3" i="7"/>
  <c r="L3" i="7"/>
  <c r="M3" i="7"/>
  <c r="B24" i="2"/>
  <c r="C14" i="2"/>
  <c r="A24" i="2"/>
  <c r="C24" i="2"/>
  <c r="B25" i="2"/>
  <c r="A25" i="2"/>
  <c r="C25" i="2"/>
  <c r="B26" i="2"/>
  <c r="A26" i="2"/>
  <c r="C26" i="2"/>
  <c r="B27" i="2"/>
  <c r="A27" i="2"/>
  <c r="C27" i="2"/>
  <c r="B28" i="2"/>
  <c r="A28" i="2"/>
  <c r="C28" i="2"/>
  <c r="D20" i="2"/>
  <c r="B29" i="2"/>
  <c r="C29" i="2"/>
  <c r="C30" i="2"/>
  <c r="F34" i="2"/>
  <c r="M4" i="7"/>
  <c r="M5" i="7"/>
  <c r="B12" i="7"/>
  <c r="M6" i="7"/>
  <c r="M7" i="7"/>
  <c r="B9" i="7"/>
  <c r="C10" i="7"/>
  <c r="D10" i="7"/>
  <c r="E10" i="7"/>
  <c r="F10" i="7"/>
  <c r="G10" i="7"/>
  <c r="H10" i="7"/>
  <c r="I10" i="7"/>
  <c r="J10" i="7"/>
  <c r="K10" i="7"/>
  <c r="L10" i="7"/>
  <c r="M10" i="7"/>
  <c r="B10" i="7"/>
  <c r="M18" i="7"/>
  <c r="M19" i="7"/>
  <c r="M17" i="7"/>
  <c r="M20" i="7"/>
  <c r="M16" i="7"/>
  <c r="M21" i="7"/>
  <c r="M22" i="7"/>
  <c r="B20" i="7"/>
  <c r="C20" i="7"/>
  <c r="D20" i="7"/>
  <c r="E20" i="7"/>
  <c r="F20" i="7"/>
  <c r="G20" i="7"/>
  <c r="H20" i="7"/>
  <c r="I20" i="7"/>
  <c r="J20" i="7"/>
  <c r="K20" i="7"/>
  <c r="L20" i="7"/>
  <c r="M28" i="7"/>
  <c r="D39" i="7"/>
  <c r="D6" i="5"/>
  <c r="F17" i="5"/>
  <c r="D4" i="5"/>
  <c r="C17" i="5"/>
  <c r="D3" i="5"/>
  <c r="D8" i="5"/>
  <c r="D9" i="5"/>
  <c r="B48" i="7"/>
  <c r="C48" i="7"/>
  <c r="D48" i="7"/>
  <c r="E48" i="7"/>
  <c r="F48" i="7"/>
  <c r="G48" i="7"/>
  <c r="H48" i="7"/>
  <c r="I48" i="7"/>
  <c r="J48" i="7"/>
  <c r="K48" i="7"/>
  <c r="L48" i="7"/>
  <c r="L49" i="7"/>
  <c r="L50" i="7"/>
  <c r="C2" i="9"/>
  <c r="C3" i="9"/>
  <c r="F3" i="9"/>
  <c r="G3" i="9"/>
  <c r="F4" i="9"/>
  <c r="G4" i="9"/>
  <c r="F7" i="9"/>
  <c r="F10" i="9"/>
  <c r="F11" i="9"/>
  <c r="F12" i="9"/>
  <c r="F5" i="9"/>
  <c r="G5" i="9"/>
  <c r="F6" i="9"/>
  <c r="G6" i="9"/>
  <c r="G7" i="9"/>
  <c r="F8" i="9"/>
  <c r="G8" i="9"/>
  <c r="F9" i="9"/>
  <c r="G9" i="9"/>
  <c r="G10" i="9"/>
  <c r="G11" i="9"/>
  <c r="G12" i="9"/>
  <c r="B5" i="9"/>
  <c r="B6" i="9"/>
  <c r="B9" i="9"/>
  <c r="A29" i="2"/>
  <c r="F33" i="2"/>
  <c r="F35" i="2"/>
  <c r="B24" i="3"/>
  <c r="C24" i="3"/>
  <c r="D24" i="3"/>
  <c r="A25" i="3"/>
  <c r="B25" i="3"/>
  <c r="C25" i="3"/>
  <c r="D25" i="3"/>
  <c r="E25" i="3"/>
  <c r="A26" i="3"/>
  <c r="B26" i="3"/>
  <c r="C26" i="3"/>
  <c r="D26" i="3"/>
  <c r="E26" i="3"/>
  <c r="A27" i="3"/>
  <c r="B27" i="3"/>
  <c r="C27" i="3"/>
  <c r="D27" i="3"/>
  <c r="E27" i="3"/>
  <c r="A28" i="3"/>
  <c r="B28" i="3"/>
  <c r="C28" i="3"/>
  <c r="D28" i="3"/>
  <c r="E28" i="3"/>
  <c r="A29" i="3"/>
  <c r="B29" i="3"/>
  <c r="C29" i="3"/>
  <c r="D29" i="3"/>
  <c r="E29" i="3"/>
  <c r="A30" i="3"/>
  <c r="B30" i="3"/>
  <c r="C30" i="3"/>
  <c r="D30" i="3"/>
  <c r="E30" i="3"/>
  <c r="A31" i="3"/>
  <c r="B31" i="3"/>
  <c r="C31" i="3"/>
  <c r="D31" i="3"/>
  <c r="E31" i="3"/>
  <c r="A32" i="3"/>
  <c r="B32" i="3"/>
  <c r="C32" i="3"/>
  <c r="D32" i="3"/>
  <c r="E32" i="3"/>
  <c r="A33" i="3"/>
  <c r="B33" i="3"/>
  <c r="C33" i="3"/>
  <c r="D33" i="3"/>
  <c r="E33" i="3"/>
  <c r="A34" i="3"/>
  <c r="B34" i="3"/>
  <c r="C34" i="3"/>
  <c r="D34" i="3"/>
  <c r="E34" i="3"/>
  <c r="D35" i="3"/>
  <c r="B25" i="7" s="1"/>
  <c r="E35" i="3"/>
  <c r="D37" i="3"/>
  <c r="B8" i="7" s="1"/>
  <c r="C8" i="7" s="1"/>
  <c r="D39" i="3"/>
  <c r="B5" i="7" s="1"/>
  <c r="D40" i="3"/>
  <c r="A12" i="4"/>
  <c r="A13" i="4"/>
  <c r="A14" i="4"/>
  <c r="A15" i="4"/>
  <c r="A16" i="4"/>
  <c r="A17" i="4"/>
  <c r="A18" i="4"/>
  <c r="A19" i="4"/>
  <c r="A20" i="4"/>
  <c r="B24" i="4"/>
  <c r="C24" i="4"/>
  <c r="D24" i="4"/>
  <c r="A25" i="4"/>
  <c r="B25" i="4"/>
  <c r="C25" i="4"/>
  <c r="D25" i="4"/>
  <c r="E25" i="4"/>
  <c r="A26" i="4"/>
  <c r="B26" i="4"/>
  <c r="C26" i="4"/>
  <c r="D26" i="4"/>
  <c r="E26" i="4"/>
  <c r="A27" i="4"/>
  <c r="B27" i="4"/>
  <c r="C27" i="4"/>
  <c r="D27" i="4"/>
  <c r="E27" i="4"/>
  <c r="A28" i="4"/>
  <c r="B28" i="4"/>
  <c r="C28" i="4"/>
  <c r="D28" i="4"/>
  <c r="E28" i="4"/>
  <c r="A29" i="4"/>
  <c r="B29" i="4"/>
  <c r="C29" i="4"/>
  <c r="D29" i="4"/>
  <c r="E29" i="4"/>
  <c r="A30" i="4"/>
  <c r="B30" i="4"/>
  <c r="C30" i="4"/>
  <c r="D30" i="4"/>
  <c r="E30" i="4"/>
  <c r="A31" i="4"/>
  <c r="B31" i="4"/>
  <c r="C31" i="4"/>
  <c r="D31" i="4"/>
  <c r="E31" i="4"/>
  <c r="A32" i="4"/>
  <c r="B32" i="4"/>
  <c r="C32" i="4"/>
  <c r="D32" i="4"/>
  <c r="E32" i="4"/>
  <c r="A33" i="4"/>
  <c r="B33" i="4"/>
  <c r="C33" i="4"/>
  <c r="D33" i="4"/>
  <c r="E33" i="4"/>
  <c r="A34" i="4"/>
  <c r="B34" i="4"/>
  <c r="C34" i="4"/>
  <c r="D34" i="4"/>
  <c r="E34" i="4"/>
  <c r="D35" i="4"/>
  <c r="E35" i="4"/>
  <c r="D37" i="4"/>
  <c r="D39" i="4"/>
  <c r="D40" i="4"/>
  <c r="B13" i="6"/>
  <c r="D5" i="5"/>
  <c r="D7" i="5"/>
  <c r="F13" i="5"/>
  <c r="C14" i="5"/>
  <c r="F14" i="5"/>
  <c r="F15" i="5"/>
  <c r="C16" i="5"/>
  <c r="F16" i="5"/>
  <c r="F18" i="5"/>
  <c r="B4" i="7" l="1"/>
  <c r="C4" i="7" s="1"/>
  <c r="B6" i="7"/>
  <c r="B16" i="7" s="1"/>
  <c r="B21" i="7" s="1"/>
  <c r="B7" i="7"/>
  <c r="B11" i="7" s="1"/>
  <c r="B26" i="7"/>
  <c r="D8" i="7"/>
  <c r="C9" i="7"/>
  <c r="B51" i="7" s="1"/>
  <c r="C25" i="7"/>
  <c r="B27" i="1"/>
  <c r="C27" i="7" l="1"/>
  <c r="E8" i="7"/>
  <c r="D9" i="7"/>
  <c r="D4" i="7"/>
  <c r="C5" i="7"/>
  <c r="B18" i="7"/>
  <c r="B17" i="7"/>
  <c r="C17" i="7" s="1"/>
  <c r="D17" i="7" s="1"/>
  <c r="E17" i="7" s="1"/>
  <c r="F17" i="7" s="1"/>
  <c r="G17" i="7" s="1"/>
  <c r="D41" i="7"/>
  <c r="B10" i="9" s="1"/>
  <c r="C6" i="7" l="1"/>
  <c r="C16" i="7" s="1"/>
  <c r="C21" i="7" s="1"/>
  <c r="C12" i="7"/>
  <c r="C7" i="7"/>
  <c r="C26" i="7"/>
  <c r="B49" i="7"/>
  <c r="E4" i="7"/>
  <c r="D5" i="7"/>
  <c r="C51" i="7"/>
  <c r="D25" i="7"/>
  <c r="F8" i="7"/>
  <c r="E9" i="7"/>
  <c r="D51" i="7" s="1"/>
  <c r="H17" i="7"/>
  <c r="I17" i="7"/>
  <c r="J17" i="7"/>
  <c r="K17" i="7"/>
  <c r="L17" i="7"/>
  <c r="C18" i="7"/>
  <c r="B19" i="7"/>
  <c r="B22" i="7" s="1"/>
  <c r="G8" i="7" l="1"/>
  <c r="F9" i="7"/>
  <c r="E51" i="7" s="1"/>
  <c r="E25" i="7"/>
  <c r="D27" i="7"/>
  <c r="D6" i="7"/>
  <c r="D16" i="7" s="1"/>
  <c r="D21" i="7" s="1"/>
  <c r="D12" i="7"/>
  <c r="D7" i="7"/>
  <c r="D26" i="7"/>
  <c r="C49" i="7"/>
  <c r="F4" i="7"/>
  <c r="E5" i="7"/>
  <c r="C11" i="7"/>
  <c r="C28" i="7"/>
  <c r="B50" i="7"/>
  <c r="B52" i="7" s="1"/>
  <c r="D18" i="7"/>
  <c r="C19" i="7"/>
  <c r="C22" i="7" s="1"/>
  <c r="C31" i="7" s="1"/>
  <c r="E6" i="7" l="1"/>
  <c r="E16" i="7" s="1"/>
  <c r="E21" i="7" s="1"/>
  <c r="E12" i="7"/>
  <c r="E7" i="7"/>
  <c r="E26" i="7"/>
  <c r="D49" i="7"/>
  <c r="G4" i="7"/>
  <c r="F5" i="7"/>
  <c r="D11" i="7"/>
  <c r="D28" i="7"/>
  <c r="C50" i="7"/>
  <c r="C52" i="7" s="1"/>
  <c r="F25" i="7"/>
  <c r="E27" i="7"/>
  <c r="H8" i="7"/>
  <c r="G9" i="7"/>
  <c r="F51" i="7" s="1"/>
  <c r="C32" i="7"/>
  <c r="H3" i="9"/>
  <c r="E18" i="7"/>
  <c r="D19" i="7"/>
  <c r="D22" i="7" s="1"/>
  <c r="D31" i="7" s="1"/>
  <c r="I8" i="7" l="1"/>
  <c r="H9" i="7"/>
  <c r="G51" i="7" s="1"/>
  <c r="G25" i="7"/>
  <c r="F27" i="7"/>
  <c r="F6" i="7"/>
  <c r="F16" i="7" s="1"/>
  <c r="F21" i="7" s="1"/>
  <c r="F12" i="7"/>
  <c r="F7" i="7"/>
  <c r="F26" i="7"/>
  <c r="E49" i="7"/>
  <c r="H4" i="7"/>
  <c r="G5" i="7"/>
  <c r="E11" i="7"/>
  <c r="E28" i="7"/>
  <c r="D50" i="7"/>
  <c r="D52" i="7" s="1"/>
  <c r="D32" i="7"/>
  <c r="H4" i="9"/>
  <c r="F18" i="7"/>
  <c r="E19" i="7"/>
  <c r="E22" i="7" s="1"/>
  <c r="E31" i="7" s="1"/>
  <c r="G6" i="7" l="1"/>
  <c r="G16" i="7" s="1"/>
  <c r="G21" i="7" s="1"/>
  <c r="G12" i="7"/>
  <c r="G7" i="7"/>
  <c r="G26" i="7"/>
  <c r="F49" i="7"/>
  <c r="I4" i="7"/>
  <c r="H5" i="7"/>
  <c r="F11" i="7"/>
  <c r="F28" i="7"/>
  <c r="E50" i="7"/>
  <c r="E52" i="7" s="1"/>
  <c r="H25" i="7"/>
  <c r="G27" i="7"/>
  <c r="J8" i="7"/>
  <c r="I9" i="7"/>
  <c r="H51" i="7" s="1"/>
  <c r="E32" i="7"/>
  <c r="H5" i="9"/>
  <c r="G18" i="7"/>
  <c r="F19" i="7"/>
  <c r="F22" i="7" s="1"/>
  <c r="F31" i="7" s="1"/>
  <c r="K8" i="7" l="1"/>
  <c r="J9" i="7"/>
  <c r="I51" i="7" s="1"/>
  <c r="I25" i="7"/>
  <c r="H27" i="7"/>
  <c r="H6" i="7"/>
  <c r="H16" i="7" s="1"/>
  <c r="H21" i="7" s="1"/>
  <c r="H12" i="7"/>
  <c r="H7" i="7"/>
  <c r="G49" i="7"/>
  <c r="J4" i="7"/>
  <c r="I5" i="7"/>
  <c r="G11" i="7"/>
  <c r="G28" i="7"/>
  <c r="F50" i="7"/>
  <c r="F52" i="7" s="1"/>
  <c r="F32" i="7"/>
  <c r="H6" i="9"/>
  <c r="H18" i="7"/>
  <c r="H19" i="7" s="1"/>
  <c r="H22" i="7" s="1"/>
  <c r="I18" i="7"/>
  <c r="I19" i="7" s="1"/>
  <c r="J18" i="7"/>
  <c r="J19" i="7" s="1"/>
  <c r="K18" i="7"/>
  <c r="K19" i="7" s="1"/>
  <c r="L18" i="7"/>
  <c r="L19" i="7" s="1"/>
  <c r="G19" i="7"/>
  <c r="G22" i="7" s="1"/>
  <c r="G31" i="7" s="1"/>
  <c r="I6" i="7" l="1"/>
  <c r="I16" i="7" s="1"/>
  <c r="I21" i="7" s="1"/>
  <c r="I22" i="7" s="1"/>
  <c r="I12" i="7"/>
  <c r="I7" i="7"/>
  <c r="H49" i="7"/>
  <c r="K4" i="7"/>
  <c r="J5" i="7"/>
  <c r="H11" i="7"/>
  <c r="H28" i="7"/>
  <c r="G50" i="7"/>
  <c r="G52" i="7" s="1"/>
  <c r="J25" i="7"/>
  <c r="I27" i="7"/>
  <c r="L8" i="7"/>
  <c r="K9" i="7"/>
  <c r="J51" i="7" s="1"/>
  <c r="H31" i="7"/>
  <c r="G32" i="7"/>
  <c r="H7" i="9"/>
  <c r="M8" i="7" l="1"/>
  <c r="L9" i="7"/>
  <c r="K51" i="7" s="1"/>
  <c r="K25" i="7"/>
  <c r="J27" i="7"/>
  <c r="J6" i="7"/>
  <c r="J16" i="7" s="1"/>
  <c r="J21" i="7" s="1"/>
  <c r="J22" i="7" s="1"/>
  <c r="J12" i="7"/>
  <c r="J7" i="7"/>
  <c r="I49" i="7"/>
  <c r="L4" i="7"/>
  <c r="L5" i="7" s="1"/>
  <c r="K5" i="7"/>
  <c r="I11" i="7"/>
  <c r="I28" i="7"/>
  <c r="H50" i="7"/>
  <c r="H52" i="7" s="1"/>
  <c r="I31" i="7"/>
  <c r="H32" i="7"/>
  <c r="H8" i="9"/>
  <c r="K6" i="7" l="1"/>
  <c r="K16" i="7" s="1"/>
  <c r="K21" i="7" s="1"/>
  <c r="K22" i="7" s="1"/>
  <c r="K12" i="7"/>
  <c r="K7" i="7"/>
  <c r="J49" i="7"/>
  <c r="L6" i="7"/>
  <c r="L16" i="7" s="1"/>
  <c r="L21" i="7" s="1"/>
  <c r="L22" i="7" s="1"/>
  <c r="L7" i="7"/>
  <c r="L12" i="7"/>
  <c r="M12" i="7" s="1"/>
  <c r="K49" i="7"/>
  <c r="J11" i="7"/>
  <c r="J28" i="7"/>
  <c r="I50" i="7"/>
  <c r="I52" i="7" s="1"/>
  <c r="L25" i="7"/>
  <c r="K27" i="7"/>
  <c r="M9" i="7"/>
  <c r="M11" i="7"/>
  <c r="J31" i="7"/>
  <c r="I32" i="7"/>
  <c r="H9" i="9"/>
  <c r="M26" i="7" l="1"/>
  <c r="L51" i="7"/>
  <c r="L52" i="7" s="1"/>
  <c r="M25" i="7"/>
  <c r="M27" i="7" s="1"/>
  <c r="L27" i="7"/>
  <c r="M13" i="7"/>
  <c r="L11" i="7"/>
  <c r="L28" i="7"/>
  <c r="K50" i="7"/>
  <c r="K52" i="7" s="1"/>
  <c r="K11" i="7"/>
  <c r="K28" i="7"/>
  <c r="J50" i="7"/>
  <c r="J52" i="7" s="1"/>
  <c r="K31" i="7"/>
  <c r="J32" i="7"/>
  <c r="H10" i="9"/>
  <c r="H26" i="7" l="1"/>
  <c r="I26" i="7"/>
  <c r="J26" i="7"/>
  <c r="K26" i="7"/>
  <c r="L26" i="7"/>
  <c r="L31" i="7"/>
  <c r="K32" i="7"/>
  <c r="H11" i="9"/>
  <c r="L32" i="7" l="1"/>
  <c r="D36" i="7" s="1"/>
  <c r="L33" i="7"/>
  <c r="D37" i="7" s="1"/>
  <c r="H12" i="9"/>
  <c r="B7" i="9" s="1"/>
  <c r="B8" i="9" s="1"/>
  <c r="D38" i="7" l="1"/>
  <c r="D40" i="7" s="1"/>
  <c r="D42" i="7" s="1"/>
  <c r="F45" i="7" l="1"/>
  <c r="D43" i="7"/>
  <c r="D44" i="7"/>
  <c r="D45" i="7"/>
  <c r="D2" i="5"/>
  <c r="C13" i="5"/>
  <c r="B11" i="9"/>
  <c r="B12" i="9"/>
  <c r="B13" i="9"/>
  <c r="C15" i="5"/>
  <c r="B20" i="5"/>
  <c r="B21" i="5"/>
  <c r="B23" i="5"/>
  <c r="B24" i="5"/>
  <c r="C26" i="5"/>
  <c r="D2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Aswath Damodaran</author>
  </authors>
  <commentList>
    <comment ref="B4" authorId="0" shapeId="0" xr:uid="{E7F24A0C-793E-4837-804B-12CFDC714917}">
      <text>
        <r>
          <rPr>
            <b/>
            <sz val="9"/>
            <color indexed="81"/>
            <rFont val="Geneva"/>
          </rPr>
          <t>Aswath Damodaran:</t>
        </r>
        <r>
          <rPr>
            <sz val="9"/>
            <color indexed="81"/>
            <rFont val="Geneva"/>
          </rPr>
          <t xml:space="preserve">
Enter the current operating income of the firm</t>
        </r>
      </text>
    </comment>
    <comment ref="B5" authorId="0" shapeId="0" xr:uid="{90C7EF1E-A90B-441F-A1B6-D595EAC33A98}">
      <text>
        <r>
          <rPr>
            <b/>
            <sz val="9"/>
            <color indexed="81"/>
            <rFont val="Geneva"/>
          </rPr>
          <t>Aswath Damodaran:</t>
        </r>
        <r>
          <rPr>
            <sz val="9"/>
            <color indexed="81"/>
            <rFont val="Geneva"/>
          </rPr>
          <t xml:space="preserve">
Enter interest expenses on debt, if any.</t>
        </r>
      </text>
    </comment>
    <comment ref="B6" authorId="0" shapeId="0" xr:uid="{31176139-1D1A-44CE-A6F1-FDF23B917C73}">
      <text>
        <r>
          <rPr>
            <b/>
            <sz val="9"/>
            <color indexed="81"/>
            <rFont val="Geneva"/>
          </rPr>
          <t>Aswath Damodaran:</t>
        </r>
        <r>
          <rPr>
            <sz val="9"/>
            <color indexed="81"/>
            <rFont val="Geneva"/>
          </rPr>
          <t xml:space="preserve">
Enter capital spending and acquisitions that the firm had in the period.</t>
        </r>
      </text>
    </comment>
    <comment ref="B7" authorId="0" shapeId="0" xr:uid="{6D4716D3-7E81-4C76-B47E-6939F7975E87}">
      <text>
        <r>
          <rPr>
            <b/>
            <sz val="9"/>
            <color indexed="81"/>
            <rFont val="Geneva"/>
          </rPr>
          <t>Aswath Damodaran:</t>
        </r>
        <r>
          <rPr>
            <sz val="9"/>
            <color indexed="81"/>
            <rFont val="Geneva"/>
          </rPr>
          <t xml:space="preserve">
Enter the depreciation and amortization that the firm had over the period.</t>
        </r>
      </text>
    </comment>
    <comment ref="B8" authorId="0" shapeId="0" xr:uid="{7093C0D1-4113-49DB-B505-7B96797D5478}">
      <text>
        <r>
          <rPr>
            <b/>
            <sz val="9"/>
            <color indexed="81"/>
            <rFont val="Geneva"/>
          </rPr>
          <t>Aswath Damodaran:</t>
        </r>
        <r>
          <rPr>
            <sz val="9"/>
            <color indexed="81"/>
            <rFont val="Geneva"/>
          </rPr>
          <t xml:space="preserve">
Enter the revenues for the period.</t>
        </r>
      </text>
    </comment>
    <comment ref="B10" authorId="0" shapeId="0" xr:uid="{5B251444-C84D-4351-9352-C1F1BBE2E176}">
      <text>
        <r>
          <rPr>
            <b/>
            <sz val="9"/>
            <color indexed="81"/>
            <rFont val="Geneva"/>
          </rPr>
          <t>Aswath Damodaran:</t>
        </r>
        <r>
          <rPr>
            <sz val="9"/>
            <color indexed="81"/>
            <rFont val="Geneva"/>
          </rPr>
          <t xml:space="preserve">
Non-cash Working capital = Non-cash current assets - Non-debt current liabilities</t>
        </r>
      </text>
    </comment>
    <comment ref="B11" authorId="0" shapeId="0" xr:uid="{DBC961B5-B3C2-4F56-A698-46439DEFEC2A}">
      <text>
        <r>
          <rPr>
            <b/>
            <sz val="9"/>
            <color indexed="81"/>
            <rFont val="Geneva"/>
          </rPr>
          <t>Aswath Damodaran:</t>
        </r>
        <r>
          <rPr>
            <sz val="9"/>
            <color indexed="81"/>
            <rFont val="Geneva"/>
          </rPr>
          <t xml:space="preserve">
Enter the book value of all interest bearing debt.</t>
        </r>
      </text>
    </comment>
    <comment ref="B12" authorId="0" shapeId="0" xr:uid="{13B91A84-E20F-4007-9715-8C5DC2139458}">
      <text>
        <r>
          <rPr>
            <b/>
            <sz val="9"/>
            <color indexed="81"/>
            <rFont val="Geneva"/>
          </rPr>
          <t>Aswath Damodaran:</t>
        </r>
        <r>
          <rPr>
            <sz val="9"/>
            <color indexed="81"/>
            <rFont val="Geneva"/>
          </rPr>
          <t xml:space="preserve">
Enter the book value of equity (It can be negative)</t>
        </r>
      </text>
    </comment>
    <comment ref="B14" authorId="0" shapeId="0" xr:uid="{451B5785-D575-4CA5-AEFD-F7C82003B040}">
      <text>
        <r>
          <rPr>
            <b/>
            <sz val="9"/>
            <color indexed="81"/>
            <rFont val="Geneva"/>
          </rPr>
          <t>Aswath Damodaran:</t>
        </r>
        <r>
          <rPr>
            <sz val="9"/>
            <color indexed="81"/>
            <rFont val="Geneva"/>
          </rPr>
          <t xml:space="preserve">
Value of holdings in other companies. </t>
        </r>
      </text>
    </comment>
    <comment ref="B16" authorId="0" shapeId="0" xr:uid="{9A17F867-8AD9-4931-82EA-08F21E2D930E}">
      <text>
        <r>
          <rPr>
            <b/>
            <sz val="9"/>
            <color indexed="81"/>
            <rFont val="Geneva"/>
          </rPr>
          <t>Aswath Damodaran:</t>
        </r>
        <r>
          <rPr>
            <sz val="9"/>
            <color indexed="81"/>
            <rFont val="Geneva"/>
          </rPr>
          <t xml:space="preserve">
Enter the net operating loss, if any, that the firm has accumulated over time. If you cannot find this, add up the net losses over the firm's lifetime and enter that.</t>
        </r>
      </text>
    </comment>
    <comment ref="B17" authorId="0" shapeId="0" xr:uid="{8C458DD8-2C8B-4DC1-BFE8-F46B7BCF8614}">
      <text>
        <r>
          <rPr>
            <b/>
            <sz val="9"/>
            <color indexed="81"/>
            <rFont val="Geneva"/>
          </rPr>
          <t>Aswath Damodaran:</t>
        </r>
        <r>
          <rPr>
            <sz val="9"/>
            <color indexed="81"/>
            <rFont val="Geneva"/>
          </rPr>
          <t xml:space="preserve">
Even if the firm is not paying taxes now, enter the marginal tax rate it will face, when it does start paying taxes.</t>
        </r>
      </text>
    </comment>
    <comment ref="D20" authorId="0" shapeId="0" xr:uid="{F428B2D8-6E53-40A7-9123-C71561E41A19}">
      <text>
        <r>
          <rPr>
            <b/>
            <sz val="9"/>
            <color indexed="81"/>
            <rFont val="Geneva"/>
          </rPr>
          <t>Aswath Damodaran:</t>
        </r>
        <r>
          <rPr>
            <sz val="9"/>
            <color indexed="81"/>
            <rFont val="Geneva"/>
          </rPr>
          <t xml:space="preserve">
Yes or No. This information should be in the 10-K. If your firm has operating lease commitments, fill out the lease worksheet.</t>
        </r>
      </text>
    </comment>
    <comment ref="D21" authorId="0" shapeId="0" xr:uid="{CB9ECC6B-9726-4A4A-9285-95A450CB995D}">
      <text>
        <r>
          <rPr>
            <b/>
            <sz val="9"/>
            <color indexed="81"/>
            <rFont val="Geneva"/>
          </rPr>
          <t>Aswath Damodaran:</t>
        </r>
        <r>
          <rPr>
            <sz val="9"/>
            <color indexed="81"/>
            <rFont val="Geneva"/>
          </rPr>
          <t xml:space="preserve">
Yes or No. If your firm has R&amp;D expenses, fill out the R&amp;D capitalization worksheet.</t>
        </r>
      </text>
    </comment>
    <comment ref="D22" authorId="0" shapeId="0" xr:uid="{A08ADED9-D961-40EF-9F54-2F73C2A3FC37}">
      <text>
        <r>
          <rPr>
            <b/>
            <sz val="9"/>
            <color indexed="81"/>
            <rFont val="Geneva"/>
          </rPr>
          <t>Aswath Damodaran:</t>
        </r>
        <r>
          <rPr>
            <sz val="9"/>
            <color indexed="81"/>
            <rFont val="Geneva"/>
          </rPr>
          <t xml:space="preserve">
There are some operating expenses that you might view as providing benefits over multiple periods. You can capitalize them by using the Other Expenses worksheet.</t>
        </r>
      </text>
    </comment>
    <comment ref="B25" authorId="0" shapeId="0" xr:uid="{F26C4A92-E947-47B3-97AB-8629607848FA}">
      <text>
        <r>
          <rPr>
            <b/>
            <sz val="9"/>
            <color indexed="81"/>
            <rFont val="Geneva"/>
          </rPr>
          <t>Aswath Damodaran:</t>
        </r>
        <r>
          <rPr>
            <sz val="9"/>
            <color indexed="81"/>
            <rFont val="Geneva"/>
          </rPr>
          <t xml:space="preserve">
Enter the beta for the first 5 years of your valuation. I would suggest using a bottom-up beta.</t>
        </r>
      </text>
    </comment>
    <comment ref="B26" authorId="0" shapeId="0" xr:uid="{7711E667-A1B2-408D-901D-075F594B52B4}">
      <text>
        <r>
          <rPr>
            <b/>
            <sz val="9"/>
            <color indexed="81"/>
            <rFont val="Geneva"/>
          </rPr>
          <t>Aswath Damodaran:</t>
        </r>
        <r>
          <rPr>
            <sz val="9"/>
            <color indexed="81"/>
            <rFont val="Geneva"/>
          </rPr>
          <t xml:space="preserve">
Input the current cost of borrowing for the firm. You can use the actual rating or a synthetic rating to estimate this.</t>
        </r>
      </text>
    </comment>
    <comment ref="B27" authorId="0" shapeId="0" xr:uid="{7379674A-B327-4ADB-81BF-2DAE179BDC5F}">
      <text>
        <r>
          <rPr>
            <b/>
            <sz val="9"/>
            <color indexed="81"/>
            <rFont val="Geneva"/>
          </rPr>
          <t>Aswath Damodaran:</t>
        </r>
        <r>
          <rPr>
            <sz val="9"/>
            <color indexed="81"/>
            <rFont val="Geneva"/>
          </rPr>
          <t xml:space="preserve">
Enter the market value of the debt. As an approximation, you can use book value of debt.</t>
        </r>
      </text>
    </comment>
    <comment ref="E30" authorId="0" shapeId="0" xr:uid="{6D3952CD-F765-4A16-94F7-D16D9060B6DE}">
      <text>
        <r>
          <rPr>
            <b/>
            <sz val="9"/>
            <color indexed="81"/>
            <rFont val="Geneva"/>
          </rPr>
          <t>Aswath Damodaran:</t>
        </r>
        <r>
          <rPr>
            <sz val="9"/>
            <color indexed="81"/>
            <rFont val="Geneva"/>
          </rPr>
          <t xml:space="preserve">
Yes or No. If yes, enter the growth rate in revenues each year below. If no, enter the compounded annual growth rate below.</t>
        </r>
      </text>
    </comment>
    <comment ref="E31" authorId="0" shapeId="0" xr:uid="{F74D4B61-262F-4D43-8D07-B3653510E8E8}">
      <text>
        <r>
          <rPr>
            <b/>
            <sz val="9"/>
            <color indexed="81"/>
            <rFont val="Geneva"/>
          </rPr>
          <t>Aswath Damodaran:</t>
        </r>
        <r>
          <rPr>
            <sz val="9"/>
            <color indexed="81"/>
            <rFont val="Geneva"/>
          </rPr>
          <t xml:space="preserve">
This is obviously an estimate. Since this is going to compound over 10 years, be cautious.</t>
        </r>
      </text>
    </comment>
    <comment ref="E32" authorId="0" shapeId="0" xr:uid="{235FB23E-4136-484A-8D2B-DDD4E819F148}">
      <text>
        <r>
          <rPr>
            <b/>
            <sz val="9"/>
            <color indexed="81"/>
            <rFont val="Geneva"/>
          </rPr>
          <t>Aswath Damodaran:</t>
        </r>
        <r>
          <rPr>
            <sz val="9"/>
            <color indexed="81"/>
            <rFont val="Geneva"/>
          </rPr>
          <t xml:space="preserve">
If your current working capital requirements are negative or abnormally high, I would say No.</t>
        </r>
      </text>
    </comment>
    <comment ref="E33" authorId="0" shapeId="0" xr:uid="{0B3A0E85-5AE6-4B2A-92CF-18D7D69A3095}">
      <text>
        <r>
          <rPr>
            <b/>
            <sz val="9"/>
            <color indexed="81"/>
            <rFont val="Geneva"/>
          </rPr>
          <t>Aswath Damodaran:</t>
        </r>
        <r>
          <rPr>
            <sz val="9"/>
            <color indexed="81"/>
            <rFont val="Geneva"/>
          </rPr>
          <t xml:space="preserve">
Input the percentage you would like to use. Industry averages might be a good idea.</t>
        </r>
      </text>
    </comment>
    <comment ref="E34" authorId="0" shapeId="0" xr:uid="{0B202C60-5297-4325-BE2A-FA8531B57418}">
      <text>
        <r>
          <rPr>
            <b/>
            <sz val="9"/>
            <color indexed="81"/>
            <rFont val="Geneva"/>
          </rPr>
          <t>Aswath Damodaran:</t>
        </r>
        <r>
          <rPr>
            <sz val="9"/>
            <color indexed="81"/>
            <rFont val="Geneva"/>
          </rPr>
          <t xml:space="preserve">
1: Grow at same rate as revenues
2: Lag revenue growth by 2 years
3: Based on fixed sales/capital ratio</t>
        </r>
      </text>
    </comment>
    <comment ref="E35" authorId="0" shapeId="0" xr:uid="{730D93DE-2619-49A0-8301-04FE35399F1E}">
      <text>
        <r>
          <rPr>
            <b/>
            <sz val="9"/>
            <color indexed="81"/>
            <rFont val="Geneva"/>
          </rPr>
          <t>Aswath Damodaran:</t>
        </r>
        <r>
          <rPr>
            <sz val="9"/>
            <color indexed="81"/>
            <rFont val="Geneva"/>
          </rPr>
          <t xml:space="preserve">
This is an estimate of how many dollars of sales are generated by each additional dollar of investment.</t>
        </r>
      </text>
    </comment>
    <comment ref="C38" authorId="0" shapeId="0" xr:uid="{10A9A2F2-958B-421E-8546-0058C4F1F316}">
      <text>
        <r>
          <rPr>
            <b/>
            <sz val="9"/>
            <color indexed="81"/>
            <rFont val="Geneva"/>
          </rPr>
          <t>Aswath Damodaran:</t>
        </r>
        <r>
          <rPr>
            <sz val="9"/>
            <color indexed="81"/>
            <rFont val="Geneva"/>
          </rPr>
          <t xml:space="preserve">
This number has to be less than or equal to the growth rate of the economy. As a rule of thumb, it should not exceed the riskfree rate.</t>
        </r>
      </text>
    </comment>
    <comment ref="C39" authorId="0" shapeId="0" xr:uid="{350B3A67-C520-46F9-A6F8-AB731AD785E0}">
      <text>
        <r>
          <rPr>
            <b/>
            <sz val="9"/>
            <color indexed="81"/>
            <rFont val="Geneva"/>
          </rPr>
          <t>Aswath Damodaran:</t>
        </r>
        <r>
          <rPr>
            <sz val="9"/>
            <color indexed="81"/>
            <rFont val="Geneva"/>
          </rPr>
          <t xml:space="preserve">
Enter the operating margin (EBIT/Sales) that you believe that your firm will have in stable growth. Look at industry averages for some guidance.</t>
        </r>
      </text>
    </comment>
    <comment ref="D39" authorId="0" shapeId="0" xr:uid="{65F235CF-35F1-49AA-BABE-7EE726ACC89A}">
      <text>
        <r>
          <rPr>
            <b/>
            <sz val="9"/>
            <color indexed="81"/>
            <rFont val="Geneva"/>
          </rPr>
          <t>Aswath Damodaran:</t>
        </r>
        <r>
          <rPr>
            <sz val="9"/>
            <color indexed="81"/>
            <rFont val="Geneva"/>
          </rPr>
          <t xml:space="preserve">
Enter a number between 1 to 2. The convergence towards the target will occur quickest if you enter 1and slowest if you enter 2.</t>
        </r>
      </text>
    </comment>
    <comment ref="C40" authorId="0" shapeId="0" xr:uid="{BB31BAA7-AC3F-4467-923C-869BECAEE62E}">
      <text>
        <r>
          <rPr>
            <b/>
            <sz val="9"/>
            <color indexed="81"/>
            <rFont val="Geneva"/>
          </rPr>
          <t>Aswath Damodaran:</t>
        </r>
        <r>
          <rPr>
            <sz val="9"/>
            <color indexed="81"/>
            <rFont val="Geneva"/>
          </rPr>
          <t xml:space="preserve">
Enter the debt ratio that your firm will have in stable growth.</t>
        </r>
      </text>
    </comment>
    <comment ref="C41" authorId="0" shapeId="0" xr:uid="{31A5CEB7-D959-406A-87E4-2F32A140A962}">
      <text>
        <r>
          <rPr>
            <b/>
            <sz val="9"/>
            <color indexed="81"/>
            <rFont val="Geneva"/>
          </rPr>
          <t>Aswath Damodaran:</t>
        </r>
        <r>
          <rPr>
            <sz val="9"/>
            <color indexed="81"/>
            <rFont val="Geneva"/>
          </rPr>
          <t xml:space="preserve">
Enter the beta that you would like your company to have in stable growth. This shoud generally be &lt;1.20.</t>
        </r>
      </text>
    </comment>
    <comment ref="C42" authorId="0" shapeId="0" xr:uid="{61EF6174-50E7-4140-B548-CA919CE543CB}">
      <text>
        <r>
          <rPr>
            <b/>
            <sz val="9"/>
            <color indexed="81"/>
            <rFont val="Geneva"/>
          </rPr>
          <t>Aswath Damodaran:</t>
        </r>
        <r>
          <rPr>
            <sz val="9"/>
            <color indexed="81"/>
            <rFont val="Geneva"/>
          </rPr>
          <t xml:space="preserve">
Enter the cost of debt that your firm will have in stable growth. </t>
        </r>
      </text>
    </comment>
    <comment ref="C43" authorId="0" shapeId="0" xr:uid="{98A40865-02A2-450F-8512-65AC09B8A983}">
      <text>
        <r>
          <rPr>
            <b/>
            <sz val="9"/>
            <color indexed="81"/>
            <rFont val="Geneva"/>
          </rPr>
          <t>Aswath Damodaran:</t>
        </r>
        <r>
          <rPr>
            <sz val="9"/>
            <color indexed="81"/>
            <rFont val="Geneva"/>
          </rPr>
          <t xml:space="preserve">
Conservatively, this can be set equal to the cost of capital. Generally, firms that  retain competitive advantages should be able to earn a higher return. Again, look at industry averages.</t>
        </r>
      </text>
    </comment>
    <comment ref="D46" authorId="0" shapeId="0" xr:uid="{41AD1579-3723-4E8B-8444-E3B2E5FEB212}">
      <text>
        <r>
          <rPr>
            <b/>
            <sz val="9"/>
            <color indexed="81"/>
            <rFont val="Geneva"/>
          </rPr>
          <t>Aswath Damodaran:</t>
        </r>
        <r>
          <rPr>
            <sz val="9"/>
            <color indexed="81"/>
            <rFont val="Geneva"/>
          </rPr>
          <t xml:space="preserve">
Enter the actual number of shares oustanding.</t>
        </r>
      </text>
    </comment>
    <comment ref="D47" authorId="0" shapeId="0" xr:uid="{531118EA-A9E8-4575-9CDB-AF920E0F041A}">
      <text>
        <r>
          <rPr>
            <b/>
            <sz val="9"/>
            <color indexed="81"/>
            <rFont val="Geneva"/>
          </rPr>
          <t>Aswath Damodaran:</t>
        </r>
        <r>
          <rPr>
            <sz val="9"/>
            <color indexed="81"/>
            <rFont val="Geneva"/>
          </rPr>
          <t xml:space="preserve">
Enter the most current stock price (even if your accounting information is dated)</t>
        </r>
      </text>
    </comment>
    <comment ref="D48" authorId="0" shapeId="0" xr:uid="{EE2249F3-12B8-473F-8E97-A8EFDB9C66F9}">
      <text>
        <r>
          <rPr>
            <b/>
            <sz val="9"/>
            <color indexed="81"/>
            <rFont val="Geneva"/>
          </rPr>
          <t>Aswath Damodaran:</t>
        </r>
        <r>
          <rPr>
            <sz val="9"/>
            <color indexed="81"/>
            <rFont val="Geneva"/>
          </rPr>
          <t xml:space="preserve">
These are options issued by the firm. They include warrants, management options and conversion options in bonds.</t>
        </r>
      </text>
    </comment>
    <comment ref="D49" authorId="0" shapeId="0" xr:uid="{2BBD63AD-B83D-4E4D-AD25-0EC82DCEB227}">
      <text>
        <r>
          <rPr>
            <b/>
            <sz val="9"/>
            <color indexed="81"/>
            <rFont val="Geneva"/>
          </rPr>
          <t>Aswath Damodaran:</t>
        </r>
        <r>
          <rPr>
            <sz val="9"/>
            <color indexed="81"/>
            <rFont val="Geneva"/>
          </rPr>
          <t xml:space="preserve">
Enter the number of options outstanding. This information should be available in the 10-K.</t>
        </r>
      </text>
    </comment>
    <comment ref="D50" authorId="0" shapeId="0" xr:uid="{7C00F31B-1BF0-4151-BD76-70D511BE92F3}">
      <text>
        <r>
          <rPr>
            <b/>
            <sz val="9"/>
            <color indexed="81"/>
            <rFont val="Geneva"/>
          </rPr>
          <t>Aswath Damodaran:</t>
        </r>
        <r>
          <rPr>
            <sz val="9"/>
            <color indexed="81"/>
            <rFont val="Geneva"/>
          </rPr>
          <t xml:space="preserve">
This is the weighted averate exercise price of all options outstanding.</t>
        </r>
      </text>
    </comment>
    <comment ref="D51" authorId="0" shapeId="0" xr:uid="{F9996AA1-FE9C-4F71-9CA4-0170B7768996}">
      <text>
        <r>
          <rPr>
            <b/>
            <sz val="9"/>
            <color indexed="81"/>
            <rFont val="Geneva"/>
          </rPr>
          <t>Aswath Damodaran:</t>
        </r>
        <r>
          <rPr>
            <sz val="9"/>
            <color indexed="81"/>
            <rFont val="Geneva"/>
          </rPr>
          <t xml:space="preserve">
Enter the weighted average maturity of the options outstanding.</t>
        </r>
      </text>
    </comment>
    <comment ref="D52" authorId="0" shapeId="0" xr:uid="{FF6E0B27-5A59-4E8E-B5D5-33A7ECA298DE}">
      <text>
        <r>
          <rPr>
            <b/>
            <sz val="9"/>
            <color indexed="81"/>
            <rFont val="Geneva"/>
          </rPr>
          <t>Aswath Damodaran:</t>
        </r>
        <r>
          <rPr>
            <sz val="9"/>
            <color indexed="81"/>
            <rFont val="Geneva"/>
          </rPr>
          <t xml:space="preserve">
Enter the standard deviation in the ln(stock price). Alternatively, use the industry average standard deviation.</t>
        </r>
      </text>
    </comment>
    <comment ref="D55" authorId="0" shapeId="0" xr:uid="{5D214034-4A3C-4D21-B578-1317440749C0}">
      <text>
        <r>
          <rPr>
            <b/>
            <sz val="9"/>
            <color indexed="81"/>
            <rFont val="Geneva"/>
          </rPr>
          <t>Aswath Damodaran:</t>
        </r>
        <r>
          <rPr>
            <sz val="9"/>
            <color indexed="81"/>
            <rFont val="Geneva"/>
          </rPr>
          <t xml:space="preserve">
Enter the current long term government bond rate.</t>
        </r>
      </text>
    </comment>
    <comment ref="D56" authorId="0" shapeId="0" xr:uid="{57C0487F-FB8B-45C4-B842-CE999CA92368}">
      <text>
        <r>
          <rPr>
            <b/>
            <sz val="9"/>
            <color indexed="81"/>
            <rFont val="Geneva"/>
          </rPr>
          <t>Aswath Damodaran:</t>
        </r>
        <r>
          <rPr>
            <sz val="9"/>
            <color indexed="81"/>
            <rFont val="Geneva"/>
          </rPr>
          <t xml:space="preserve">
Enter the current market risk premium. You can use a historical premium, adjusted for country risk, or an implied premium.</t>
        </r>
      </text>
    </comment>
    <comment ref="C60" authorId="0" shapeId="0" xr:uid="{FC1679AB-2A8F-4443-88A2-1387ABC48208}">
      <text>
        <r>
          <rPr>
            <b/>
            <sz val="9"/>
            <color indexed="81"/>
            <rFont val="Geneva"/>
          </rPr>
          <t>Aswath Damodaran:</t>
        </r>
        <r>
          <rPr>
            <sz val="9"/>
            <color indexed="81"/>
            <rFont val="Geneva"/>
          </rPr>
          <t xml:space="preserve">
You should choose a year where revenue growth has reached industry average levels, and your firm is showing positive operating income.</t>
        </r>
      </text>
    </comment>
    <comment ref="C61" authorId="0" shapeId="0" xr:uid="{BC426A4E-5B95-46A6-87B7-7F3CC46D05DF}">
      <text>
        <r>
          <rPr>
            <b/>
            <sz val="9"/>
            <color indexed="81"/>
            <rFont val="Geneva"/>
          </rPr>
          <t>Aswath Damodaran:</t>
        </r>
        <r>
          <rPr>
            <sz val="9"/>
            <color indexed="81"/>
            <rFont val="Geneva"/>
          </rPr>
          <t xml:space="preserve">
You can use the average value to sales ratio for the industry, or the average for a subset of firms that have growth similar to what your firm will have in the chosen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Aswath Damodaran</author>
  </authors>
  <commentList>
    <comment ref="M28" authorId="0" shapeId="0" xr:uid="{7FE303EC-B30D-4567-AE15-78493031F06D}">
      <text>
        <r>
          <rPr>
            <b/>
            <sz val="9"/>
            <color indexed="81"/>
            <rFont val="Geneva"/>
          </rPr>
          <t>Aswath Damodaran:</t>
        </r>
        <r>
          <rPr>
            <sz val="9"/>
            <color indexed="81"/>
            <rFont val="Geneva"/>
          </rPr>
          <t xml:space="preserve">
This is your input. This may not match the actual return on capital in the terminal year.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samsung</author>
    <author>Aswath Damodaran</author>
  </authors>
  <commentList>
    <comment ref="F6" authorId="0" shapeId="0" xr:uid="{FC3D9CFE-AE13-4B51-A1D6-EDBA60EA25A1}">
      <text>
        <r>
          <rPr>
            <b/>
            <sz val="9"/>
            <color indexed="81"/>
            <rFont val="굴림"/>
            <family val="3"/>
            <charset val="129"/>
          </rPr>
          <t>Jae:</t>
        </r>
        <r>
          <rPr>
            <sz val="9"/>
            <color indexed="81"/>
            <rFont val="굴림"/>
            <family val="3"/>
            <charset val="129"/>
          </rPr>
          <t xml:space="preserve">
R&amp;D cost is mainly 
consist of salaries and personnel-related cost</t>
        </r>
      </text>
    </comment>
    <comment ref="D40" authorId="1" shapeId="0" xr:uid="{FB7BB2EC-C2E6-4746-BE6C-A59BC305CE54}">
      <text>
        <r>
          <rPr>
            <b/>
            <sz val="9"/>
            <color indexed="81"/>
            <rFont val="Geneva"/>
          </rPr>
          <t>Aswath Damodaran:</t>
        </r>
        <r>
          <rPr>
            <sz val="9"/>
            <color indexed="81"/>
            <rFont val="Geneva"/>
          </rPr>
          <t xml:space="preserve">
By expensing R&amp;D rather than capitalizing it, the firm gets a tax benefit. This is the dollar value of that tax benefit.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Aswath Damodaran</author>
  </authors>
  <commentList>
    <comment ref="B13" authorId="0" shapeId="0" xr:uid="{E5853CE7-E980-46DC-A179-4D3D6F655650}">
      <text>
        <r>
          <rPr>
            <b/>
            <sz val="9"/>
            <color indexed="81"/>
            <rFont val="Geneva"/>
          </rPr>
          <t>Aswath Damodaran:</t>
        </r>
        <r>
          <rPr>
            <sz val="9"/>
            <color indexed="81"/>
            <rFont val="Geneva"/>
          </rPr>
          <t xml:space="preserve">
DO NOT INPUT. This is the compounded average growth rate over the next 10 years, based upon your inputs.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Aswath Damodaran</author>
  </authors>
  <commentList>
    <comment ref="D2" authorId="0" shapeId="0" xr:uid="{873D2077-8A9D-47FA-8E42-65A5F9310DD9}">
      <text>
        <r>
          <rPr>
            <b/>
            <sz val="9"/>
            <color indexed="81"/>
            <rFont val="Geneva"/>
          </rPr>
          <t>Aswath Damodaran:</t>
        </r>
        <r>
          <rPr>
            <sz val="9"/>
            <color indexed="81"/>
            <rFont val="Geneva"/>
          </rPr>
          <t xml:space="preserve">
DO NOT INPUT. This comes from your master input sheet.</t>
        </r>
      </text>
    </comment>
    <comment ref="D3" authorId="0" shapeId="0" xr:uid="{A4DB44FD-11ED-4E5D-B762-B0A8000F7EBA}">
      <text>
        <r>
          <rPr>
            <b/>
            <sz val="9"/>
            <color indexed="81"/>
            <rFont val="Geneva"/>
          </rPr>
          <t>Aswath Damodaran:</t>
        </r>
        <r>
          <rPr>
            <sz val="9"/>
            <color indexed="81"/>
            <rFont val="Geneva"/>
          </rPr>
          <t xml:space="preserve">
If valuing options in aggregate, use the weighted exercise price</t>
        </r>
      </text>
    </comment>
    <comment ref="D4" authorId="0" shapeId="0" xr:uid="{CE48DF22-181C-4E65-BF57-CCAEDEC96947}">
      <text>
        <r>
          <rPr>
            <b/>
            <sz val="9"/>
            <color indexed="81"/>
            <rFont val="Geneva"/>
          </rPr>
          <t>Aswath Damodaran:</t>
        </r>
        <r>
          <rPr>
            <sz val="9"/>
            <color indexed="81"/>
            <rFont val="Geneva"/>
          </rPr>
          <t xml:space="preserve">
If valuing options in aggregate, use the weighted maturity</t>
        </r>
      </text>
    </comment>
    <comment ref="D5" authorId="0" shapeId="0" xr:uid="{D27D3F30-2D96-43D0-8044-DE5CF1C4DD51}">
      <text>
        <r>
          <rPr>
            <b/>
            <sz val="9"/>
            <color indexed="81"/>
            <rFont val="Geneva"/>
          </rPr>
          <t>Aswath Damodaran:</t>
        </r>
        <r>
          <rPr>
            <sz val="9"/>
            <color indexed="81"/>
            <rFont val="Geneva"/>
          </rPr>
          <t xml:space="preserve">
Annualized Standard deviation: If you do not have this for your firm, use the sector average from industry worksheet.</t>
        </r>
      </text>
    </comment>
    <comment ref="D6" authorId="0" shapeId="0" xr:uid="{C08AF8BB-056A-4049-AB69-A42FD6A4B3A1}">
      <text>
        <r>
          <rPr>
            <b/>
            <sz val="9"/>
            <color indexed="81"/>
            <rFont val="Geneva"/>
          </rPr>
          <t>Aswath Damodaran:</t>
        </r>
        <r>
          <rPr>
            <sz val="9"/>
            <color indexed="81"/>
            <rFont val="Geneva"/>
          </rPr>
          <t xml:space="preserve">
Enter the current dividend yield = Dividends per share/ Price per share</t>
        </r>
      </text>
    </comment>
    <comment ref="D7" authorId="0" shapeId="0" xr:uid="{B60F5807-D1A3-4D4C-96DF-97A40198108B}">
      <text>
        <r>
          <rPr>
            <b/>
            <sz val="9"/>
            <color indexed="81"/>
            <rFont val="Geneva"/>
          </rPr>
          <t>Aswath Damodaran:</t>
        </r>
        <r>
          <rPr>
            <sz val="9"/>
            <color indexed="81"/>
            <rFont val="Geneva"/>
          </rPr>
          <t xml:space="preserve">
DO NOT INPUT. This comes from the master input sheet.</t>
        </r>
      </text>
    </comment>
    <comment ref="D8" authorId="0" shapeId="0" xr:uid="{E414CC8B-0D90-46D7-8930-29B90844F33A}">
      <text>
        <r>
          <rPr>
            <b/>
            <sz val="9"/>
            <color indexed="81"/>
            <rFont val="Geneva"/>
          </rPr>
          <t>Aswath Damodaran:</t>
        </r>
        <r>
          <rPr>
            <sz val="9"/>
            <color indexed="81"/>
            <rFont val="Geneva"/>
          </rPr>
          <t xml:space="preserve">
Enter the total number of options outstanding. (in same units as number of shares below)</t>
        </r>
      </text>
    </comment>
    <comment ref="D9" authorId="0" shapeId="0" xr:uid="{1E902495-0A1F-4699-9FF1-38BC884C6DDF}">
      <text>
        <r>
          <rPr>
            <b/>
            <sz val="9"/>
            <color indexed="81"/>
            <rFont val="Geneva"/>
          </rPr>
          <t>Aswath Damodaran:</t>
        </r>
        <r>
          <rPr>
            <sz val="9"/>
            <color indexed="81"/>
            <rFont val="Geneva"/>
          </rPr>
          <t xml:space="preserve">
DO NOT INPUT. This comes from the master input sheet.</t>
        </r>
      </text>
    </comment>
  </commentList>
</comments>
</file>

<file path=xl/sharedStrings.xml><?xml version="1.0" encoding="utf-8"?>
<sst xmlns="http://schemas.openxmlformats.org/spreadsheetml/2006/main" count="530" uniqueCount="385">
  <si>
    <t>Current Financial Information (Using LTM data in $'000s)</t>
  </si>
  <si>
    <t>I. Income Statement</t>
  </si>
  <si>
    <t>Current EBIT =</t>
  </si>
  <si>
    <t>Current Interest Expense =</t>
  </si>
  <si>
    <t>Current Capital Spending</t>
  </si>
  <si>
    <t>Current Depreciation and Amortization =</t>
  </si>
  <si>
    <t>Current Revenues =</t>
  </si>
  <si>
    <t>II. Balance Sheet</t>
  </si>
  <si>
    <t>This period</t>
  </si>
  <si>
    <t>Last period</t>
  </si>
  <si>
    <t>Current Non-cash Working Capital =</t>
  </si>
  <si>
    <t>Book Value of Debt =</t>
  </si>
  <si>
    <t>Book Value of Equity =</t>
  </si>
  <si>
    <t>Cash &amp; Marketable Securities =</t>
  </si>
  <si>
    <t>Non-operating Assets</t>
  </si>
  <si>
    <t>III. Tax Information</t>
  </si>
  <si>
    <t>NOL carried forward =</t>
  </si>
  <si>
    <t>Marginal tax rate =</t>
  </si>
  <si>
    <t>Adjustments to Current Financial Information</t>
  </si>
  <si>
    <t>Do you have any operating leases?</t>
  </si>
  <si>
    <t>Yes</t>
  </si>
  <si>
    <t>Does your firm have R&amp;D expenses?</t>
  </si>
  <si>
    <t>Are there any other operating expenses to be capitalized?</t>
  </si>
  <si>
    <t>No</t>
  </si>
  <si>
    <t>Discount Rate Inputs</t>
  </si>
  <si>
    <t>Current Beta =</t>
  </si>
  <si>
    <t>Current Cost of Borrowing =</t>
  </si>
  <si>
    <t>Current Market Value of Debt =</t>
  </si>
  <si>
    <t>Expectations for the future</t>
  </si>
  <si>
    <t>Do you want to enter the growth rate in revenues each year?</t>
  </si>
  <si>
    <r>
      <t>Y</t>
    </r>
    <r>
      <rPr>
        <sz val="9"/>
        <rFont val="Geneva"/>
      </rPr>
      <t>es</t>
    </r>
  </si>
  <si>
    <t>If no, Compounded Annual Growth Rate in Revenues for next 10 years:</t>
  </si>
  <si>
    <t>Do you want me to use current working capital as percent of revenues for the future?</t>
  </si>
  <si>
    <t>If not, enter non-cash working capital as a percent of revenues in future periods</t>
  </si>
  <si>
    <t>How would you like capital expenditures to be estimated?</t>
  </si>
  <si>
    <t>If you would chose 3, enter the sales to capital ratio that you would like maintained</t>
  </si>
  <si>
    <t>Stable Growth Inputs</t>
  </si>
  <si>
    <t>Expected Growth Rate in perpetutity =</t>
  </si>
  <si>
    <t>Speed of convergence</t>
  </si>
  <si>
    <t>Expected Operating Margin =</t>
  </si>
  <si>
    <t>Expected Debt to Capital(MV) Ratio for the firm =</t>
  </si>
  <si>
    <t>Expected Beta =</t>
  </si>
  <si>
    <t>Expected Cost of Debt =</t>
  </si>
  <si>
    <t>Return on Capital for the firm =</t>
  </si>
  <si>
    <t>Per Share Inputs</t>
  </si>
  <si>
    <t>Number of Shares outstanding =</t>
  </si>
  <si>
    <t>Current Stock Price =</t>
  </si>
  <si>
    <t>Does your firm have equity options outstanding?</t>
  </si>
  <si>
    <t>If yes, enter the number of options outstanding =</t>
  </si>
  <si>
    <t xml:space="preserve">          and the average exercise price of the options outstanding =</t>
  </si>
  <si>
    <t xml:space="preserve">          and the average maturity of the options outstanding =</t>
  </si>
  <si>
    <t xml:space="preserve">          and the standard deviation in the firm's stock price =</t>
  </si>
  <si>
    <t>General Information</t>
  </si>
  <si>
    <t>Current long term government bond rate =</t>
  </si>
  <si>
    <t>Estimated Market Risk Premium =</t>
  </si>
  <si>
    <t>Relative Valuation</t>
  </si>
  <si>
    <t>If you want to do a relative valuation of your firm, enter these inputs:</t>
  </si>
  <si>
    <t>Year on which multiple is to be applied =</t>
  </si>
  <si>
    <t>Value to Sales multiple in that year =</t>
  </si>
  <si>
    <t>Base</t>
  </si>
  <si>
    <t>Terminal Year</t>
  </si>
  <si>
    <t>Revenue Growth Rate</t>
  </si>
  <si>
    <t>Revenues</t>
  </si>
  <si>
    <t>Operating Margin</t>
  </si>
  <si>
    <t>EBIT</t>
  </si>
  <si>
    <t>Taxes</t>
  </si>
  <si>
    <t>EBIT(1-t)</t>
  </si>
  <si>
    <t xml:space="preserve"> + Depreciation</t>
  </si>
  <si>
    <t xml:space="preserve"> - Capital Expenditures</t>
  </si>
  <si>
    <t xml:space="preserve"> - Chg WC</t>
  </si>
  <si>
    <t>FCFF</t>
  </si>
  <si>
    <t>NOL</t>
  </si>
  <si>
    <t>Terminal Value</t>
  </si>
  <si>
    <t>Cost of Capital Calculations</t>
  </si>
  <si>
    <t>Tax Rate</t>
  </si>
  <si>
    <t>Debt Ratio</t>
  </si>
  <si>
    <t>Beta</t>
  </si>
  <si>
    <t>Cost of Equity</t>
  </si>
  <si>
    <t>Cost of Debt</t>
  </si>
  <si>
    <t>After-tax cost of debt</t>
  </si>
  <si>
    <t xml:space="preserve">Cost of Capital </t>
  </si>
  <si>
    <t>Computed Variables (These are measures of how efficiently your firm is investing over time)</t>
  </si>
  <si>
    <t>Total Capital Invested</t>
  </si>
  <si>
    <t>Reinvestment Rate</t>
  </si>
  <si>
    <t>Increase in Revenue/Increase in Capital</t>
  </si>
  <si>
    <t>Return on Capital</t>
  </si>
  <si>
    <t>Present Value Calculations</t>
  </si>
  <si>
    <t>Cumulative WACC</t>
  </si>
  <si>
    <t>Present Value of FCFF</t>
  </si>
  <si>
    <t>Present Value of Terminal Value</t>
  </si>
  <si>
    <t>The Valuation</t>
  </si>
  <si>
    <t>PV of FCFF during high growth phase =</t>
  </si>
  <si>
    <t>PV of Terminal Value =</t>
  </si>
  <si>
    <t>Value of Operating Assets of the firm =</t>
  </si>
  <si>
    <t>Value of Cash &amp; Non-operating assets=</t>
  </si>
  <si>
    <t>Value of Firm =</t>
  </si>
  <si>
    <t xml:space="preserve"> - Value of Outstanding Debt =</t>
  </si>
  <si>
    <t>Value of Equity =</t>
  </si>
  <si>
    <t xml:space="preserve"> - Value of Equity Options =</t>
  </si>
  <si>
    <t>Value of Equity in Common Stock =</t>
  </si>
  <si>
    <t>Treasury Stock Approach</t>
  </si>
  <si>
    <t>Value of Equity per share =</t>
  </si>
  <si>
    <t>Summary Output</t>
  </si>
  <si>
    <t xml:space="preserve">EBIT </t>
  </si>
  <si>
    <t xml:space="preserve"> - Reinvestment</t>
  </si>
  <si>
    <t>Relative Valuation Output</t>
  </si>
  <si>
    <t>Year in which multiple is used =</t>
  </si>
  <si>
    <t>Year</t>
  </si>
  <si>
    <t>Cumulated Cost of Capital</t>
  </si>
  <si>
    <t>Value to Sales Ratio for Specialty retailers=</t>
  </si>
  <si>
    <t>Revenue in chosen year =</t>
  </si>
  <si>
    <t xml:space="preserve">Value in chosen year = </t>
  </si>
  <si>
    <t>Cost of capital in chosen year</t>
  </si>
  <si>
    <t xml:space="preserve">Value today = </t>
  </si>
  <si>
    <t xml:space="preserve"> + Cash &amp; Securities =</t>
  </si>
  <si>
    <t xml:space="preserve">  - Debt outstanding =</t>
  </si>
  <si>
    <t xml:space="preserve"> -Equity options outstanding=</t>
  </si>
  <si>
    <t>Value of Equity in stock =</t>
  </si>
  <si>
    <t>Value per share =</t>
  </si>
  <si>
    <t>Company</t>
  </si>
  <si>
    <t>Market Value</t>
  </si>
  <si>
    <t>Percent Owned</t>
  </si>
  <si>
    <t>Operating Lease Converter</t>
  </si>
  <si>
    <t>Inputs</t>
  </si>
  <si>
    <t>Operating lease expense in current year =</t>
  </si>
  <si>
    <t>Operating Lease Commitments (From footnote to financials)</t>
  </si>
  <si>
    <t>Commitment</t>
  </si>
  <si>
    <t>! Year 1 is next year, ….</t>
  </si>
  <si>
    <t>6 and beyond</t>
  </si>
  <si>
    <t>Output</t>
  </si>
  <si>
    <t>Pre-tax Cost of Debt =</t>
  </si>
  <si>
    <t>! If you do not have a cost of debt, use the ratings estimator</t>
  </si>
  <si>
    <t>From the current financial statements, enter the following</t>
  </si>
  <si>
    <t>Reported Operating Income (EBIT) =</t>
  </si>
  <si>
    <t>! This is the EBIT reported in the current income statement</t>
  </si>
  <si>
    <t>Reported Debt =</t>
  </si>
  <si>
    <t>! This is the interest-bearing debt reported on the balance sheet</t>
  </si>
  <si>
    <t>Number of years embedded in yr 6 estimate =</t>
  </si>
  <si>
    <t>! I use the average lease expense over the first five years</t>
  </si>
  <si>
    <t>to estimate the number of years of expenses in yr 6</t>
  </si>
  <si>
    <t>Converting Operating Leases into debt</t>
  </si>
  <si>
    <t>Present Value</t>
  </si>
  <si>
    <t>! Commitment beyond year 6 converted into an annuity for ten years</t>
  </si>
  <si>
    <t>Debt Value of leases =</t>
  </si>
  <si>
    <t>Restated Financials</t>
  </si>
  <si>
    <t>Depreciation on Operating Lease Asset =</t>
  </si>
  <si>
    <t>! I use straight line depreciation</t>
  </si>
  <si>
    <t>Adjustment to Operating Earnings =</t>
  </si>
  <si>
    <t>! PV of operating leases * Pre-tax cost of debt</t>
  </si>
  <si>
    <t>Adjustment to Total Debt outstanding =</t>
  </si>
  <si>
    <t>R &amp; D Converter</t>
  </si>
  <si>
    <t>This spreadsheet converts R&amp;D expenses from operating to capital expenses. It makes the appropriate adjustments to operating income, net</t>
    <phoneticPr fontId="3" type="noConversion"/>
  </si>
  <si>
    <t>income, the book value of assets and the book value of equity.</t>
  </si>
  <si>
    <t>Over how many years do you want to amortize R&amp;D expenses</t>
  </si>
  <si>
    <t>! If in doubt, use the lookup table below</t>
  </si>
  <si>
    <t>Enter the current year's R&amp;D expense =</t>
  </si>
  <si>
    <t>The maximum allowed is ten years</t>
  </si>
  <si>
    <t>Enter R&amp; D expenses for past years: the number of years that you will need to enter will be determined by the amortization period</t>
  </si>
  <si>
    <t>Do not input numbers in the first column (Year). It will get automatically updated  based on the input above.</t>
  </si>
  <si>
    <t>R&amp; D Expenses</t>
  </si>
  <si>
    <t>! Year -1 is the year prior to the current year</t>
  </si>
  <si>
    <t>! Year -2 is the two years prior to the current year</t>
  </si>
  <si>
    <t>R&amp;D Expense</t>
  </si>
  <si>
    <t>Unamortized portion</t>
  </si>
  <si>
    <t>Amortization this year</t>
  </si>
  <si>
    <t>Current</t>
  </si>
  <si>
    <t>Value of Research Asset =</t>
  </si>
  <si>
    <t>Amortization of asset for current year =</t>
  </si>
  <si>
    <t>Adjustment to Operating Income =</t>
  </si>
  <si>
    <t>! A positive number indicates an increase in operating income (add to reported EBIT)</t>
  </si>
  <si>
    <t>Tax Effect of R&amp;D Expensing</t>
  </si>
  <si>
    <t>Look Up Table for Amortization Periods</t>
  </si>
  <si>
    <t>Industry Name</t>
  </si>
  <si>
    <t>Amortization Period</t>
  </si>
  <si>
    <t>Advertising</t>
  </si>
  <si>
    <t>Aerospace/Defense</t>
  </si>
  <si>
    <t>Non-technological Service</t>
  </si>
  <si>
    <t>2 years</t>
  </si>
  <si>
    <t>Air Transport</t>
  </si>
  <si>
    <t>Retail, Tech Service</t>
  </si>
  <si>
    <t>3 years</t>
  </si>
  <si>
    <t>Aluminum</t>
  </si>
  <si>
    <t>Light Manufacturing</t>
  </si>
  <si>
    <t>5 years</t>
  </si>
  <si>
    <t>Apparel</t>
  </si>
  <si>
    <t>Heavy  Manufacturing</t>
  </si>
  <si>
    <t>10 years</t>
  </si>
  <si>
    <t>Auto &amp; Truck</t>
  </si>
  <si>
    <t>Research, with Patenting</t>
  </si>
  <si>
    <t>Auto Parts (OEM)</t>
  </si>
  <si>
    <t>Long Gestation Period</t>
  </si>
  <si>
    <t>Auto Parts (Replacement)</t>
  </si>
  <si>
    <t>Bank</t>
  </si>
  <si>
    <t>Bank (Canadian)</t>
  </si>
  <si>
    <t>Bank (Foreign)</t>
  </si>
  <si>
    <t>Bank (Midwest)</t>
  </si>
  <si>
    <t>Beverage (Alcoholic)</t>
  </si>
  <si>
    <t>Beverage (Soft Drink)</t>
  </si>
  <si>
    <t>Building Materials</t>
  </si>
  <si>
    <t>Cable TV</t>
  </si>
  <si>
    <t>Canadian Energy</t>
  </si>
  <si>
    <t>Cement &amp; Aggregates</t>
  </si>
  <si>
    <t>Chemical (Basic)</t>
  </si>
  <si>
    <t>Chemical (Diversified)</t>
  </si>
  <si>
    <t>Chemical (Specialty)</t>
  </si>
  <si>
    <t>Coal/Alternate Energy</t>
  </si>
  <si>
    <t>Computer &amp; Peripherals</t>
  </si>
  <si>
    <t>Computer Software &amp; Svcs</t>
  </si>
  <si>
    <t>Copper</t>
  </si>
  <si>
    <t>Diversified Co.</t>
  </si>
  <si>
    <t>Drug</t>
  </si>
  <si>
    <t>Drugstore</t>
  </si>
  <si>
    <t>Educational Services</t>
  </si>
  <si>
    <t>Electric Util. (Central)</t>
  </si>
  <si>
    <t>Electric Utility (East)</t>
  </si>
  <si>
    <t>Electric Utility (West)</t>
  </si>
  <si>
    <t>Electrical Equipment</t>
  </si>
  <si>
    <t>Electronics</t>
  </si>
  <si>
    <t>Entertainment</t>
  </si>
  <si>
    <t>Environmental</t>
  </si>
  <si>
    <t>Financial Services</t>
  </si>
  <si>
    <t>Food Processing</t>
  </si>
  <si>
    <t>Food Wholesalers</t>
  </si>
  <si>
    <t>Foreign Electron/Entertn</t>
  </si>
  <si>
    <t>Foreign Telecom.</t>
  </si>
  <si>
    <t>Furn./Home Furnishings</t>
  </si>
  <si>
    <t>Gold/Silver Mining</t>
  </si>
  <si>
    <t>Grocery</t>
  </si>
  <si>
    <t>Healthcare Info Systems</t>
  </si>
  <si>
    <t>Home Appliance</t>
  </si>
  <si>
    <t>Homebuilding</t>
  </si>
  <si>
    <t>Hotel/Gaming</t>
  </si>
  <si>
    <t>Household Products</t>
  </si>
  <si>
    <t>Industrial Services</t>
  </si>
  <si>
    <t>Insurance (Diversified)</t>
  </si>
  <si>
    <t>Insurance (Life)</t>
  </si>
  <si>
    <t>Insurance (Prop/Casualty)</t>
  </si>
  <si>
    <t>Internet</t>
  </si>
  <si>
    <t>Investment Co. (Domestic)</t>
  </si>
  <si>
    <t>Investment Co. (Foreign)</t>
  </si>
  <si>
    <t>Investment Co. (Income)</t>
  </si>
  <si>
    <t>Machinery</t>
  </si>
  <si>
    <t>Manuf. Housing/Rec Veh</t>
  </si>
  <si>
    <t>Maritime</t>
  </si>
  <si>
    <t>Medical Services</t>
  </si>
  <si>
    <t>Medical Supplies</t>
  </si>
  <si>
    <t>Metal Fabricating</t>
  </si>
  <si>
    <t>Metals &amp; Mining (Div.)</t>
  </si>
  <si>
    <t>Natural Gas (Distrib.)</t>
  </si>
  <si>
    <t>Natural Gas (Diversified)</t>
  </si>
  <si>
    <t>Newspaper</t>
  </si>
  <si>
    <t>Office Equip &amp; Supplies</t>
  </si>
  <si>
    <t>Oilfield Services/Equip.</t>
  </si>
  <si>
    <t>Packaging &amp; Container</t>
  </si>
  <si>
    <t>Paper &amp; Forest Products</t>
  </si>
  <si>
    <t>Petroleum (Integrated)</t>
  </si>
  <si>
    <t>Petroleum (Producing)</t>
  </si>
  <si>
    <t>Precision Instrument</t>
  </si>
  <si>
    <t>Publishing</t>
  </si>
  <si>
    <t>R.E.I.T.</t>
  </si>
  <si>
    <t>Railroad</t>
  </si>
  <si>
    <t>Recreation</t>
  </si>
  <si>
    <t>Restaurant</t>
  </si>
  <si>
    <t>Retail (Special Lines)</t>
  </si>
  <si>
    <t>Retail Building Supply</t>
  </si>
  <si>
    <t>Retail Store</t>
  </si>
  <si>
    <t>Securities Brokerage</t>
  </si>
  <si>
    <t>Semiconductor</t>
  </si>
  <si>
    <t>Semiconductor Cap Equip</t>
  </si>
  <si>
    <t>Shoe</t>
  </si>
  <si>
    <t>Steel (General)</t>
  </si>
  <si>
    <t>Steel (Integrated)</t>
  </si>
  <si>
    <t>Telecom. Equipment</t>
  </si>
  <si>
    <t>Telecom. Services</t>
  </si>
  <si>
    <t>Textile</t>
  </si>
  <si>
    <t>Thrift</t>
  </si>
  <si>
    <t>Tire &amp; Rubber</t>
  </si>
  <si>
    <t>Tobacco</t>
  </si>
  <si>
    <t>Toiletries/Cosmetics</t>
  </si>
  <si>
    <t>Trucking/Transp. Leasing</t>
  </si>
  <si>
    <t>Utility (Foreign)</t>
  </si>
  <si>
    <t>Water Utility</t>
  </si>
  <si>
    <t>Other Expenses to Capitalize</t>
  </si>
  <si>
    <t>This spreadsheet converts any expenses from operating to capital expenses. It makes the appropriate adjustments to operating income, net</t>
  </si>
  <si>
    <t>Over how many years do you want to amortize these expenses</t>
  </si>
  <si>
    <t>Enter the current year's operating expense =</t>
  </si>
  <si>
    <t>Enter operating expenses for past years: the number of years that you will need to enter will be determined by the amortization period</t>
  </si>
  <si>
    <t>Operating Expenses</t>
  </si>
  <si>
    <t>Value of Expensing Asset =</t>
  </si>
  <si>
    <t>Tax Effect of  Expensing</t>
  </si>
  <si>
    <t>Enter the expected growth rate in revenues each year for the next 10 years</t>
  </si>
  <si>
    <t>Expected Growth Rate</t>
  </si>
  <si>
    <t>Compounded Average</t>
  </si>
  <si>
    <t>Valuing Options or Warrants</t>
  </si>
  <si>
    <t>Enter the current stock price =</t>
  </si>
  <si>
    <t>Enter the strike price on the option =</t>
  </si>
  <si>
    <t>Enter the expiration of the option =</t>
  </si>
  <si>
    <t>Enter the standard deviation in stock prices =</t>
  </si>
  <si>
    <t>(volatility)</t>
  </si>
  <si>
    <t>Enter the annualized dividend yield on stock =</t>
  </si>
  <si>
    <t>Enter the treasury bond rate =</t>
  </si>
  <si>
    <t>Enter the number of warrants (options) outstanding =</t>
  </si>
  <si>
    <t>Enter the number of shares outstanding =</t>
  </si>
  <si>
    <t>Do not input any numbers below this line</t>
  </si>
  <si>
    <t>VALUING WARRANTS WHEN THERE IS DILUTION</t>
  </si>
  <si>
    <t>Stock Price=</t>
  </si>
  <si>
    <t># Warrants issued=</t>
  </si>
  <si>
    <t>Strike Price=</t>
  </si>
  <si>
    <t># Shares outstanding=</t>
  </si>
  <si>
    <t>Adjusted S (DO NOT ENTER)=</t>
  </si>
  <si>
    <t>T.Bond rate=</t>
  </si>
  <si>
    <t>Adjusted K (DO NOT ENTER)=</t>
  </si>
  <si>
    <t>Variance=</t>
  </si>
  <si>
    <t>Expiration (in years) =</t>
  </si>
  <si>
    <t>Annualized dividend yield=</t>
  </si>
  <si>
    <t>Div. Adj. interest rate=</t>
  </si>
  <si>
    <t xml:space="preserve">d1 = </t>
  </si>
  <si>
    <t>N (d1) =</t>
  </si>
  <si>
    <t xml:space="preserve">d2 = </t>
  </si>
  <si>
    <t>N (d2) =</t>
  </si>
  <si>
    <t xml:space="preserve">Value per option = </t>
  </si>
  <si>
    <t>Value of all options outstanding =</t>
  </si>
  <si>
    <t>Number of firms</t>
  </si>
  <si>
    <t>Levered Beta</t>
  </si>
  <si>
    <t>Unlevered Beta</t>
  </si>
  <si>
    <t>Std Dev: Equity</t>
  </si>
  <si>
    <t>Market D/E</t>
  </si>
  <si>
    <t>Market Debt/Capital</t>
  </si>
  <si>
    <t>ROE</t>
  </si>
  <si>
    <t>ROC</t>
  </si>
  <si>
    <t>Effective Tax Rate</t>
  </si>
  <si>
    <t>Pre-tax Operating Margin</t>
  </si>
  <si>
    <t>After-tax Operating Margin</t>
  </si>
  <si>
    <t>Net Margin</t>
  </si>
  <si>
    <t>Cap Ex/ Depreciation</t>
  </si>
  <si>
    <t>Non-cash WC/ Revenues</t>
  </si>
  <si>
    <t>Payout Ratio</t>
  </si>
  <si>
    <t>Sales/Capital</t>
  </si>
  <si>
    <t>EV/Sales</t>
  </si>
  <si>
    <t>Auto Parts</t>
  </si>
  <si>
    <t>Automotive</t>
  </si>
  <si>
    <t>NA</t>
  </si>
  <si>
    <t>Beverage</t>
  </si>
  <si>
    <t>Biotechnology</t>
  </si>
  <si>
    <t>Coal</t>
  </si>
  <si>
    <t>Computer Software</t>
  </si>
  <si>
    <t>Computers/Peripherals</t>
  </si>
  <si>
    <t>E-Commerce</t>
  </si>
  <si>
    <t>Engineering &amp; Const</t>
  </si>
  <si>
    <t>Entertainment Tech</t>
  </si>
  <si>
    <t>Financial Svcs. (Div.)</t>
  </si>
  <si>
    <t>Foreign Electronics</t>
  </si>
  <si>
    <t>Funeral Services</t>
  </si>
  <si>
    <t>Furn/Home Furnishings</t>
  </si>
  <si>
    <t>Healthcare Information</t>
  </si>
  <si>
    <t>Heavy Truck &amp; Equip</t>
  </si>
  <si>
    <t>Human Resources</t>
  </si>
  <si>
    <t>Information Services</t>
  </si>
  <si>
    <t>Insurance (Prop/Cas.)</t>
  </si>
  <si>
    <t>IT Services</t>
  </si>
  <si>
    <t>Med Supp Invasive</t>
  </si>
  <si>
    <t>Med Supp Non-Invasive</t>
  </si>
  <si>
    <t>Natural Gas (Div.)</t>
  </si>
  <si>
    <t>Natural Gas Utility</t>
  </si>
  <si>
    <t>Office Equip/Supplies</t>
  </si>
  <si>
    <t>Oil/Gas Distribution</t>
  </si>
  <si>
    <t>Oilfield Svcs/Equip.</t>
  </si>
  <si>
    <t>Paper/Forest Products</t>
  </si>
  <si>
    <t>Pharmacy Services</t>
  </si>
  <si>
    <t>Pipeline MLPs</t>
  </si>
  <si>
    <t>Power</t>
  </si>
  <si>
    <t>Precious Metals</t>
  </si>
  <si>
    <t>Property Management</t>
  </si>
  <si>
    <t>Public/Private Equity</t>
  </si>
  <si>
    <t>Reinsurance</t>
  </si>
  <si>
    <t>Retail (Hardlines)</t>
  </si>
  <si>
    <t>Retail (Softlines)</t>
  </si>
  <si>
    <t>Retail Automotive</t>
  </si>
  <si>
    <t>Retail/Wholesale Food</t>
  </si>
  <si>
    <t>Semiconductor Equip</t>
  </si>
  <si>
    <t>Steel</t>
  </si>
  <si>
    <t>Telecom. Utility</t>
  </si>
  <si>
    <t>Trucking</t>
  </si>
  <si>
    <t>Wireless Networking</t>
  </si>
  <si>
    <t>Total Market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</si>
</sst>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4" formatCode="_(&quot;$&quot;* #,##0.00_);_(&quot;$&quot;* \(#,##0.00\);_(&quot;$&quot;* &quot;-&quot;??_);_(@_)"/>
    <numFmt numFmtId="43" formatCode="_(* #,##0.00_);_(* \(#,##0.00\);_(* &quot;-&quot;??_);_(@_)"/>
    <numFmt numFmtId="164" formatCode="_-* #,##0.00_-;\-* #,##0.00_-;_-* &quot;-&quot;??_-;_-@_-"/>
    <numFmt numFmtId="165" formatCode="&quot;$&quot;#,##0.00"/>
    <numFmt numFmtId="166" formatCode="#,##0.0000"/>
    <numFmt numFmtId="167" formatCode="_(&quot;$&quot;* #,##0_);_(&quot;$&quot;* \(#,##0\);_(&quot;$&quot;* &quot;-&quot;??_);_(@_)"/>
    <numFmt numFmtId="168" formatCode="&quot;$&quot;#,##0"/>
    <numFmt numFmtId="169" formatCode="_(* #,##0_);_(* \(#,##0\);_(* &quot;-&quot;??_);_(@_)"/>
    <numFmt numFmtId="170" formatCode="_(* #,##0.0000_);_(* \(#,##0.0000\);_(* &quot;-&quot;??_);_(@_)"/>
    <numFmt numFmtId="171" formatCode="_(* #,##0.00000000_);_(* \(#,##0.00000000\);_(* &quot;-&quot;??_);_(@_)"/>
    <numFmt numFmtId="172" formatCode="_(* #,##0.0_);_(* \(#,##0.0\)_)\ ;_(* 0_)"/>
  </numFmts>
  <fonts count="28">
    <font>
      <sz val="9"/>
      <name val="Geneva"/>
    </font>
    <font>
      <b/>
      <sz val="9"/>
      <name val="Geneva"/>
    </font>
    <font>
      <i/>
      <sz val="9"/>
      <name val="Geneva"/>
    </font>
    <font>
      <b/>
      <i/>
      <sz val="9"/>
      <name val="Geneva"/>
    </font>
    <font>
      <sz val="9"/>
      <name val="Geneva"/>
    </font>
    <font>
      <sz val="10"/>
      <name val="Geneva"/>
    </font>
    <font>
      <b/>
      <sz val="10"/>
      <name val="Geneva"/>
    </font>
    <font>
      <b/>
      <sz val="10"/>
      <name val="Times"/>
    </font>
    <font>
      <b/>
      <sz val="12"/>
      <name val="Times"/>
    </font>
    <font>
      <i/>
      <sz val="10"/>
      <name val="Times"/>
    </font>
    <font>
      <i/>
      <sz val="10"/>
      <name val="Geneva"/>
    </font>
    <font>
      <sz val="10"/>
      <name val="Times"/>
    </font>
    <font>
      <sz val="9"/>
      <color indexed="81"/>
      <name val="Geneva"/>
    </font>
    <font>
      <b/>
      <sz val="9"/>
      <color indexed="81"/>
      <name val="Geneva"/>
    </font>
    <font>
      <b/>
      <sz val="14"/>
      <name val="Times"/>
    </font>
    <font>
      <sz val="9"/>
      <name val="Times"/>
    </font>
    <font>
      <b/>
      <sz val="9"/>
      <name val="Times"/>
    </font>
    <font>
      <b/>
      <sz val="14"/>
      <name val="Geneva"/>
    </font>
    <font>
      <b/>
      <i/>
      <sz val="10"/>
      <name val="Times"/>
    </font>
    <font>
      <sz val="14"/>
      <name val="Times"/>
    </font>
    <font>
      <sz val="8"/>
      <name val="Geneva"/>
    </font>
    <font>
      <sz val="8"/>
      <name val="돋움"/>
      <family val="3"/>
    </font>
    <font>
      <sz val="8"/>
      <color indexed="8"/>
      <name val="Arial"/>
      <family val="2"/>
    </font>
    <font>
      <sz val="9"/>
      <color indexed="81"/>
      <name val="굴림"/>
      <family val="3"/>
      <charset val="129"/>
    </font>
    <font>
      <b/>
      <sz val="9"/>
      <color indexed="81"/>
      <name val="굴림"/>
      <family val="3"/>
      <charset val="129"/>
    </font>
    <font>
      <sz val="10"/>
      <name val="Times New Roman"/>
      <charset val="1"/>
    </font>
    <font>
      <sz val="10"/>
      <color rgb="FF000000"/>
      <name val="Times"/>
    </font>
    <font>
      <i/>
      <sz val="10"/>
      <color rgb="FF000000"/>
      <name val="Times"/>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s>
  <cellStyleXfs count="4">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145">
    <xf numFmtId="0" fontId="0" fillId="0" borderId="0" xfId="0"/>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9" fillId="0" borderId="1" xfId="0" applyFont="1" applyBorder="1"/>
    <xf numFmtId="0" fontId="1" fillId="0" borderId="0" xfId="0" applyFont="1"/>
    <xf numFmtId="0" fontId="0" fillId="0" borderId="1" xfId="0" applyBorder="1"/>
    <xf numFmtId="0" fontId="0" fillId="0" borderId="1" xfId="0" applyBorder="1" applyAlignment="1">
      <alignment horizontal="center"/>
    </xf>
    <xf numFmtId="0" fontId="4" fillId="0" borderId="0" xfId="0" applyFont="1"/>
    <xf numFmtId="0" fontId="14" fillId="0" borderId="0" xfId="0" applyFont="1" applyAlignment="1">
      <alignment horizontal="centerContinuous"/>
    </xf>
    <xf numFmtId="0" fontId="14" fillId="0" borderId="0" xfId="0" applyFont="1"/>
    <xf numFmtId="44" fontId="11" fillId="2" borderId="1" xfId="2" applyFont="1" applyFill="1" applyBorder="1"/>
    <xf numFmtId="0" fontId="11" fillId="0" borderId="1" xfId="0" applyFont="1" applyBorder="1" applyAlignment="1">
      <alignment horizontal="center"/>
    </xf>
    <xf numFmtId="10" fontId="11" fillId="3" borderId="2" xfId="0" applyNumberFormat="1" applyFont="1" applyFill="1" applyBorder="1" applyAlignment="1">
      <alignment horizontal="center"/>
    </xf>
    <xf numFmtId="44" fontId="11" fillId="3" borderId="1" xfId="2" applyFont="1" applyFill="1" applyBorder="1"/>
    <xf numFmtId="44" fontId="11" fillId="0" borderId="0" xfId="2" applyFont="1" applyBorder="1"/>
    <xf numFmtId="0" fontId="11" fillId="3" borderId="1" xfId="0" applyFont="1" applyFill="1" applyBorder="1" applyAlignment="1">
      <alignment horizontal="center"/>
    </xf>
    <xf numFmtId="0" fontId="11" fillId="0" borderId="1" xfId="0" applyFont="1" applyBorder="1"/>
    <xf numFmtId="44" fontId="11" fillId="3" borderId="1" xfId="0" applyNumberFormat="1" applyFont="1" applyFill="1" applyBorder="1"/>
    <xf numFmtId="0" fontId="11" fillId="0" borderId="3" xfId="0" applyFont="1" applyBorder="1"/>
    <xf numFmtId="44" fontId="11" fillId="3" borderId="3" xfId="0" applyNumberFormat="1" applyFont="1" applyFill="1" applyBorder="1"/>
    <xf numFmtId="44" fontId="11" fillId="3" borderId="3" xfId="2" applyFont="1" applyFill="1" applyBorder="1"/>
    <xf numFmtId="0" fontId="11" fillId="0" borderId="2" xfId="0" applyFont="1" applyBorder="1"/>
    <xf numFmtId="0" fontId="11" fillId="3" borderId="2" xfId="0" applyFont="1" applyFill="1" applyBorder="1"/>
    <xf numFmtId="44" fontId="11" fillId="3" borderId="2" xfId="0" applyNumberFormat="1" applyFont="1" applyFill="1" applyBorder="1"/>
    <xf numFmtId="8" fontId="11" fillId="3" borderId="4" xfId="0" applyNumberFormat="1" applyFont="1" applyFill="1" applyBorder="1"/>
    <xf numFmtId="44" fontId="11" fillId="3" borderId="4" xfId="0" applyNumberFormat="1" applyFont="1" applyFill="1" applyBorder="1"/>
    <xf numFmtId="0" fontId="11" fillId="2" borderId="1" xfId="0" applyFont="1" applyFill="1" applyBorder="1" applyAlignment="1">
      <alignment horizontal="center"/>
    </xf>
    <xf numFmtId="2" fontId="15" fillId="0" borderId="1" xfId="0" applyNumberFormat="1" applyFont="1" applyBorder="1" applyAlignment="1">
      <alignment horizontal="center"/>
    </xf>
    <xf numFmtId="2" fontId="15" fillId="0" borderId="0" xfId="0" applyNumberFormat="1" applyFont="1"/>
    <xf numFmtId="2" fontId="11" fillId="0" borderId="0" xfId="0" applyNumberFormat="1" applyFont="1"/>
    <xf numFmtId="1" fontId="15" fillId="0" borderId="1" xfId="0" applyNumberFormat="1" applyFont="1" applyBorder="1" applyAlignment="1">
      <alignment horizontal="center"/>
    </xf>
    <xf numFmtId="2" fontId="15" fillId="2" borderId="1" xfId="0" applyNumberFormat="1" applyFont="1" applyFill="1" applyBorder="1" applyAlignment="1">
      <alignment horizontal="center"/>
    </xf>
    <xf numFmtId="2" fontId="16" fillId="0" borderId="0" xfId="0" applyNumberFormat="1" applyFont="1"/>
    <xf numFmtId="2" fontId="15" fillId="0" borderId="5" xfId="0" applyNumberFormat="1" applyFont="1" applyBorder="1" applyAlignment="1">
      <alignment horizontal="centerContinuous"/>
    </xf>
    <xf numFmtId="2" fontId="15" fillId="0" borderId="6" xfId="0" applyNumberFormat="1" applyFont="1" applyBorder="1" applyAlignment="1">
      <alignment horizontal="centerContinuous"/>
    </xf>
    <xf numFmtId="2" fontId="15" fillId="0" borderId="3" xfId="0" applyNumberFormat="1" applyFont="1" applyBorder="1" applyAlignment="1">
      <alignment horizontal="center"/>
    </xf>
    <xf numFmtId="165" fontId="11" fillId="0" borderId="2" xfId="0" applyNumberFormat="1" applyFont="1" applyBorder="1"/>
    <xf numFmtId="165" fontId="11" fillId="0" borderId="7" xfId="0" applyNumberFormat="1" applyFont="1" applyBorder="1"/>
    <xf numFmtId="6" fontId="11" fillId="0" borderId="1" xfId="2" applyNumberFormat="1" applyFont="1" applyBorder="1"/>
    <xf numFmtId="0" fontId="3" fillId="0" borderId="0" xfId="0" applyFont="1"/>
    <xf numFmtId="0" fontId="0" fillId="0" borderId="0" xfId="0" applyAlignment="1">
      <alignment horizontal="center"/>
    </xf>
    <xf numFmtId="10" fontId="11" fillId="0" borderId="2" xfId="3" applyNumberFormat="1" applyFont="1" applyBorder="1" applyAlignment="1">
      <alignment horizontal="center"/>
    </xf>
    <xf numFmtId="0" fontId="17" fillId="0" borderId="0" xfId="0" applyFont="1"/>
    <xf numFmtId="0" fontId="0" fillId="2" borderId="1" xfId="0" applyFill="1" applyBorder="1"/>
    <xf numFmtId="10" fontId="0" fillId="2" borderId="1" xfId="3" applyNumberFormat="1" applyFont="1" applyFill="1" applyBorder="1"/>
    <xf numFmtId="10" fontId="0" fillId="2" borderId="1" xfId="0" applyNumberFormat="1" applyFill="1" applyBorder="1"/>
    <xf numFmtId="4" fontId="0" fillId="0" borderId="1" xfId="0" applyNumberFormat="1" applyBorder="1"/>
    <xf numFmtId="0" fontId="18" fillId="0" borderId="0" xfId="0" applyFont="1"/>
    <xf numFmtId="0" fontId="7" fillId="0" borderId="1" xfId="0" applyFont="1" applyBorder="1"/>
    <xf numFmtId="10" fontId="7" fillId="0" borderId="0" xfId="0" applyNumberFormat="1" applyFont="1"/>
    <xf numFmtId="3" fontId="11" fillId="0" borderId="1" xfId="0" applyNumberFormat="1" applyFont="1" applyBorder="1"/>
    <xf numFmtId="10" fontId="7" fillId="0" borderId="1" xfId="0" applyNumberFormat="1" applyFont="1" applyBorder="1"/>
    <xf numFmtId="166" fontId="7" fillId="0" borderId="1" xfId="1" applyNumberFormat="1" applyFont="1" applyBorder="1"/>
    <xf numFmtId="10" fontId="11" fillId="0" borderId="1" xfId="0" applyNumberFormat="1" applyFont="1" applyBorder="1"/>
    <xf numFmtId="44" fontId="8" fillId="0" borderId="2" xfId="2" applyFont="1" applyBorder="1"/>
    <xf numFmtId="0" fontId="19" fillId="0" borderId="0" xfId="0" applyFont="1"/>
    <xf numFmtId="44" fontId="19" fillId="0" borderId="0" xfId="2" applyFont="1"/>
    <xf numFmtId="6" fontId="6" fillId="0" borderId="2" xfId="0" applyNumberFormat="1" applyFont="1" applyBorder="1"/>
    <xf numFmtId="10" fontId="0" fillId="0" borderId="1" xfId="0" applyNumberFormat="1" applyBorder="1"/>
    <xf numFmtId="167" fontId="0" fillId="0" borderId="0" xfId="2" applyNumberFormat="1" applyFont="1"/>
    <xf numFmtId="167" fontId="0" fillId="0" borderId="0" xfId="0" applyNumberFormat="1"/>
    <xf numFmtId="44" fontId="11" fillId="0" borderId="0" xfId="2" applyFont="1" applyBorder="1" applyAlignment="1">
      <alignment horizontal="center"/>
    </xf>
    <xf numFmtId="0" fontId="2" fillId="0" borderId="0" xfId="0" applyFont="1" applyAlignment="1">
      <alignment horizontal="center"/>
    </xf>
    <xf numFmtId="44" fontId="0" fillId="0" borderId="1" xfId="0" applyNumberFormat="1" applyBorder="1"/>
    <xf numFmtId="44" fontId="0" fillId="0" borderId="0" xfId="0" applyNumberFormat="1"/>
    <xf numFmtId="43" fontId="0" fillId="0" borderId="0" xfId="0" applyNumberFormat="1"/>
    <xf numFmtId="44" fontId="0" fillId="0" borderId="4" xfId="2" applyFont="1" applyBorder="1"/>
    <xf numFmtId="167" fontId="0" fillId="0" borderId="1" xfId="0" applyNumberFormat="1" applyBorder="1"/>
    <xf numFmtId="167" fontId="0" fillId="0" borderId="1" xfId="2" applyNumberFormat="1" applyFont="1" applyBorder="1"/>
    <xf numFmtId="43" fontId="11" fillId="0" borderId="0" xfId="1" applyFont="1" applyBorder="1" applyAlignment="1">
      <alignment horizontal="center"/>
    </xf>
    <xf numFmtId="0" fontId="2" fillId="0" borderId="0" xfId="0" applyFont="1"/>
    <xf numFmtId="44" fontId="0" fillId="0" borderId="1" xfId="2" applyFont="1" applyBorder="1"/>
    <xf numFmtId="167" fontId="0" fillId="0" borderId="1" xfId="2" applyNumberFormat="1" applyFont="1" applyBorder="1" applyAlignment="1">
      <alignment horizontal="center"/>
    </xf>
    <xf numFmtId="170" fontId="0" fillId="0" borderId="0" xfId="1" applyNumberFormat="1" applyFont="1"/>
    <xf numFmtId="44" fontId="11" fillId="2" borderId="1" xfId="2" applyFont="1" applyFill="1" applyBorder="1" applyAlignment="1">
      <alignment horizontal="center"/>
    </xf>
    <xf numFmtId="44" fontId="11" fillId="2" borderId="3" xfId="2" applyFont="1" applyFill="1" applyBorder="1" applyAlignment="1">
      <alignment horizontal="center"/>
    </xf>
    <xf numFmtId="44" fontId="9" fillId="2" borderId="1" xfId="2" applyFont="1" applyFill="1" applyBorder="1" applyAlignment="1">
      <alignment horizontal="center"/>
    </xf>
    <xf numFmtId="10" fontId="11" fillId="2" borderId="1" xfId="2" applyNumberFormat="1" applyFont="1" applyFill="1" applyBorder="1" applyAlignment="1">
      <alignment horizontal="center"/>
    </xf>
    <xf numFmtId="0" fontId="0" fillId="2" borderId="1" xfId="0" applyFill="1" applyBorder="1" applyAlignment="1">
      <alignment horizontal="center"/>
    </xf>
    <xf numFmtId="2" fontId="0" fillId="2" borderId="1" xfId="0" applyNumberFormat="1" applyFill="1" applyBorder="1" applyAlignment="1">
      <alignment horizontal="center"/>
    </xf>
    <xf numFmtId="9" fontId="0" fillId="2" borderId="1" xfId="0" applyNumberFormat="1" applyFill="1" applyBorder="1" applyAlignment="1">
      <alignment horizontal="center"/>
    </xf>
    <xf numFmtId="44" fontId="0" fillId="2" borderId="1" xfId="0" applyNumberFormat="1" applyFill="1" applyBorder="1"/>
    <xf numFmtId="0" fontId="4" fillId="2" borderId="1" xfId="0" applyFont="1" applyFill="1" applyBorder="1" applyAlignment="1">
      <alignment horizontal="center"/>
    </xf>
    <xf numFmtId="10" fontId="11" fillId="2" borderId="1" xfId="0" applyNumberFormat="1" applyFont="1" applyFill="1" applyBorder="1" applyAlignment="1">
      <alignment horizontal="center"/>
    </xf>
    <xf numFmtId="169" fontId="11" fillId="2" borderId="1" xfId="1" applyNumberFormat="1" applyFont="1" applyFill="1" applyBorder="1" applyAlignment="1">
      <alignment horizontal="center"/>
    </xf>
    <xf numFmtId="43" fontId="11" fillId="2" borderId="1" xfId="1" applyFont="1" applyFill="1" applyBorder="1" applyAlignment="1">
      <alignment horizontal="center"/>
    </xf>
    <xf numFmtId="10" fontId="0" fillId="2" borderId="1" xfId="0" applyNumberFormat="1" applyFill="1" applyBorder="1" applyAlignment="1">
      <alignment horizontal="center"/>
    </xf>
    <xf numFmtId="43" fontId="0" fillId="2" borderId="1" xfId="1" applyFont="1" applyFill="1" applyBorder="1" applyAlignment="1"/>
    <xf numFmtId="44" fontId="0" fillId="2" borderId="1" xfId="2" applyFont="1" applyFill="1" applyBorder="1"/>
    <xf numFmtId="44" fontId="15" fillId="0" borderId="1" xfId="2" applyFont="1" applyBorder="1"/>
    <xf numFmtId="44" fontId="15" fillId="0" borderId="3" xfId="2" applyFont="1" applyBorder="1"/>
    <xf numFmtId="44" fontId="11" fillId="0" borderId="2" xfId="2" applyFont="1" applyBorder="1"/>
    <xf numFmtId="0" fontId="2" fillId="0" borderId="1" xfId="0" applyFont="1" applyBorder="1" applyAlignment="1">
      <alignment horizontal="center"/>
    </xf>
    <xf numFmtId="10" fontId="0" fillId="0" borderId="1" xfId="3" applyNumberFormat="1" applyFont="1" applyBorder="1"/>
    <xf numFmtId="9" fontId="0" fillId="0" borderId="1" xfId="0" applyNumberFormat="1" applyBorder="1"/>
    <xf numFmtId="168" fontId="0" fillId="0" borderId="1" xfId="0" applyNumberFormat="1" applyBorder="1"/>
    <xf numFmtId="168" fontId="0" fillId="0" borderId="1" xfId="2" applyNumberFormat="1" applyFont="1" applyBorder="1"/>
    <xf numFmtId="0" fontId="0" fillId="0" borderId="5" xfId="0" applyBorder="1"/>
    <xf numFmtId="168" fontId="0" fillId="0" borderId="8" xfId="0" applyNumberFormat="1" applyBorder="1"/>
    <xf numFmtId="168" fontId="0" fillId="0" borderId="6" xfId="0" applyNumberFormat="1" applyBorder="1"/>
    <xf numFmtId="2" fontId="0" fillId="0" borderId="1" xfId="0" applyNumberFormat="1" applyBorder="1"/>
    <xf numFmtId="43" fontId="0" fillId="0" borderId="1" xfId="0" applyNumberFormat="1" applyBorder="1"/>
    <xf numFmtId="43" fontId="0" fillId="0" borderId="1" xfId="1" applyFont="1" applyBorder="1"/>
    <xf numFmtId="0" fontId="4" fillId="0" borderId="1" xfId="0" applyFont="1" applyBorder="1"/>
    <xf numFmtId="44" fontId="4" fillId="0" borderId="1" xfId="0" applyNumberFormat="1" applyFont="1" applyBorder="1"/>
    <xf numFmtId="167" fontId="4" fillId="0" borderId="1" xfId="0" applyNumberFormat="1" applyFont="1" applyBorder="1"/>
    <xf numFmtId="10" fontId="0" fillId="0" borderId="1" xfId="3" applyNumberFormat="1" applyFont="1" applyBorder="1" applyAlignment="1">
      <alignment horizontal="center"/>
    </xf>
    <xf numFmtId="171" fontId="0" fillId="0" borderId="1" xfId="1" applyNumberFormat="1" applyFont="1" applyBorder="1"/>
    <xf numFmtId="10" fontId="0" fillId="0" borderId="0" xfId="0" applyNumberFormat="1"/>
    <xf numFmtId="9" fontId="0" fillId="0" borderId="0" xfId="0" applyNumberFormat="1"/>
    <xf numFmtId="168" fontId="0" fillId="0" borderId="0" xfId="0" applyNumberFormat="1"/>
    <xf numFmtId="10" fontId="5" fillId="0" borderId="0" xfId="3" applyNumberFormat="1" applyFont="1"/>
    <xf numFmtId="0" fontId="0" fillId="0" borderId="9" xfId="0" applyBorder="1"/>
    <xf numFmtId="168" fontId="0" fillId="0" borderId="9" xfId="0" applyNumberFormat="1" applyBorder="1"/>
    <xf numFmtId="0" fontId="2" fillId="0" borderId="1" xfId="0" applyFont="1" applyBorder="1"/>
    <xf numFmtId="172" fontId="22" fillId="0" borderId="0" xfId="0" applyNumberFormat="1" applyFont="1" applyAlignment="1">
      <alignment horizontal="right" vertical="top" wrapText="1"/>
    </xf>
    <xf numFmtId="167" fontId="1" fillId="0" borderId="0" xfId="0" applyNumberFormat="1" applyFont="1"/>
    <xf numFmtId="164" fontId="19" fillId="0" borderId="0" xfId="0" applyNumberFormat="1" applyFont="1"/>
    <xf numFmtId="0" fontId="0" fillId="0" borderId="0" xfId="0" quotePrefix="1"/>
    <xf numFmtId="0" fontId="2" fillId="0" borderId="6" xfId="0" applyFont="1" applyBorder="1" applyAlignment="1">
      <alignment horizontal="center"/>
    </xf>
    <xf numFmtId="0" fontId="2" fillId="0" borderId="6" xfId="0" applyFont="1" applyBorder="1"/>
    <xf numFmtId="2" fontId="2" fillId="0" borderId="6" xfId="0" applyNumberFormat="1" applyFont="1" applyBorder="1"/>
    <xf numFmtId="0" fontId="0" fillId="0" borderId="13" xfId="0" applyBorder="1" applyAlignment="1">
      <alignment horizontal="center"/>
    </xf>
    <xf numFmtId="2" fontId="0" fillId="0" borderId="13" xfId="0" applyNumberFormat="1" applyBorder="1" applyAlignment="1">
      <alignment horizontal="center"/>
    </xf>
    <xf numFmtId="10" fontId="0" fillId="0" borderId="13" xfId="0" applyNumberFormat="1" applyBorder="1" applyAlignment="1">
      <alignment horizontal="center"/>
    </xf>
    <xf numFmtId="0" fontId="1" fillId="0" borderId="9" xfId="0" applyFont="1" applyBorder="1"/>
    <xf numFmtId="0" fontId="1" fillId="0" borderId="13" xfId="0" applyFont="1" applyBorder="1" applyAlignment="1">
      <alignment horizontal="center"/>
    </xf>
    <xf numFmtId="2" fontId="1" fillId="0" borderId="13" xfId="0" applyNumberFormat="1" applyFont="1" applyBorder="1" applyAlignment="1">
      <alignment horizontal="center"/>
    </xf>
    <xf numFmtId="10" fontId="1" fillId="0" borderId="13" xfId="0" applyNumberFormat="1" applyFont="1" applyBorder="1" applyAlignment="1">
      <alignment horizontal="center"/>
    </xf>
    <xf numFmtId="10" fontId="25" fillId="0" borderId="1" xfId="0" applyNumberFormat="1" applyFont="1" applyBorder="1" applyAlignment="1">
      <alignment horizontal="center"/>
    </xf>
    <xf numFmtId="10" fontId="25" fillId="0" borderId="3" xfId="0" applyNumberFormat="1" applyFont="1" applyBorder="1" applyAlignment="1">
      <alignment horizontal="center"/>
    </xf>
    <xf numFmtId="0" fontId="26" fillId="0" borderId="0" xfId="0" applyFont="1"/>
    <xf numFmtId="44" fontId="5" fillId="0" borderId="0" xfId="0" applyNumberFormat="1" applyFont="1"/>
    <xf numFmtId="44" fontId="27" fillId="0" borderId="0" xfId="2" applyFont="1" applyBorder="1" applyAlignment="1">
      <alignment horizontal="center"/>
    </xf>
    <xf numFmtId="3" fontId="0" fillId="2" borderId="1" xfId="0" applyNumberFormat="1" applyFill="1" applyBorder="1"/>
    <xf numFmtId="3" fontId="0" fillId="2" borderId="1" xfId="0" applyNumberFormat="1" applyFill="1" applyBorder="1" applyAlignment="1">
      <alignment horizontal="center"/>
    </xf>
    <xf numFmtId="44" fontId="7" fillId="0" borderId="1" xfId="0" applyNumberFormat="1" applyFont="1" applyBorder="1"/>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cellXfs>
  <cellStyles count="4">
    <cellStyle name="Comma" xfId="1" builtinId="3"/>
    <cellStyle name="Currency" xfId="2" builtinId="4"/>
    <cellStyle name="Normal" xfId="0" builtinId="0"/>
    <cellStyle name="Percent" xfId="3" builtinId="5"/>
  </cellStyles>
  <dxfs count="2">
    <dxf>
      <border>
        <left/>
        <right/>
        <top/>
        <bottom/>
      </border>
    </dxf>
    <dxf>
      <border>
        <left/>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8E3AC-2ABD-4234-955D-3853553CD7B4}">
  <sheetPr codeName="Sheet1"/>
  <dimension ref="A2:G61"/>
  <sheetViews>
    <sheetView tabSelected="1" topLeftCell="A35" workbookViewId="0">
      <selection activeCell="D48" sqref="D48"/>
    </sheetView>
  </sheetViews>
  <sheetFormatPr defaultColWidth="11.42578125" defaultRowHeight="12"/>
  <cols>
    <col min="1" max="1" width="28.28515625" bestFit="1" customWidth="1"/>
    <col min="4" max="4" width="14.28515625" customWidth="1"/>
    <col min="7" max="7" width="11.7109375" bestFit="1" customWidth="1"/>
  </cols>
  <sheetData>
    <row r="2" spans="1:5" ht="15.75">
      <c r="A2" s="3" t="s">
        <v>0</v>
      </c>
      <c r="B2" s="4"/>
    </row>
    <row r="3" spans="1:5" s="6" customFormat="1" ht="12.75">
      <c r="A3" s="5" t="s">
        <v>1</v>
      </c>
    </row>
    <row r="4" spans="1:5" s="1" customFormat="1" ht="12.75">
      <c r="A4" s="7" t="s">
        <v>2</v>
      </c>
      <c r="B4" s="79">
        <v>-23272</v>
      </c>
    </row>
    <row r="5" spans="1:5" s="1" customFormat="1" ht="12.75">
      <c r="A5" s="7" t="s">
        <v>3</v>
      </c>
      <c r="B5" s="79">
        <v>670</v>
      </c>
    </row>
    <row r="6" spans="1:5" s="1" customFormat="1" ht="12.75">
      <c r="A6" s="136" t="s">
        <v>4</v>
      </c>
      <c r="B6" s="79">
        <f xml:space="preserve"> 902 + 4000 + 22111</f>
        <v>27013</v>
      </c>
      <c r="C6" s="7"/>
    </row>
    <row r="7" spans="1:5" s="1" customFormat="1" ht="12.75">
      <c r="A7" s="7" t="s">
        <v>5</v>
      </c>
      <c r="B7" s="79">
        <v>34130</v>
      </c>
      <c r="C7" s="7"/>
    </row>
    <row r="8" spans="1:5" s="1" customFormat="1" ht="12.75">
      <c r="A8" s="7" t="s">
        <v>6</v>
      </c>
      <c r="B8" s="80">
        <v>168920</v>
      </c>
    </row>
    <row r="9" spans="1:5" s="6" customFormat="1" ht="12.75">
      <c r="A9" s="5" t="s">
        <v>7</v>
      </c>
      <c r="B9" s="81" t="s">
        <v>8</v>
      </c>
      <c r="C9" s="8" t="s">
        <v>9</v>
      </c>
      <c r="D9" s="120"/>
    </row>
    <row r="10" spans="1:5" s="1" customFormat="1" ht="12.75">
      <c r="A10" s="136" t="s">
        <v>10</v>
      </c>
      <c r="B10" s="79">
        <f>(329129 - 248490) - 71739</f>
        <v>8900</v>
      </c>
      <c r="C10" s="15">
        <f>255520-198240-67742</f>
        <v>-10462</v>
      </c>
      <c r="D10" s="137"/>
    </row>
    <row r="11" spans="1:5" s="1" customFormat="1" ht="12.75">
      <c r="A11" s="136" t="s">
        <v>11</v>
      </c>
      <c r="B11" s="79">
        <f>332 + 146</f>
        <v>478</v>
      </c>
      <c r="C11" s="79">
        <f>49 + 18</f>
        <v>67</v>
      </c>
    </row>
    <row r="12" spans="1:5" s="1" customFormat="1" ht="12.75">
      <c r="A12" s="7" t="s">
        <v>12</v>
      </c>
      <c r="B12" s="79">
        <f>688173 - 224387</f>
        <v>463786</v>
      </c>
      <c r="C12" s="79">
        <v>182653</v>
      </c>
      <c r="E12" s="116"/>
    </row>
    <row r="13" spans="1:5" s="1" customFormat="1" ht="12.75">
      <c r="A13" s="7" t="s">
        <v>13</v>
      </c>
      <c r="B13" s="79">
        <v>248490</v>
      </c>
      <c r="C13" s="7"/>
    </row>
    <row r="14" spans="1:5" s="1" customFormat="1" ht="12.75">
      <c r="A14" s="136" t="s">
        <v>14</v>
      </c>
      <c r="B14" s="79">
        <v>0</v>
      </c>
      <c r="C14" s="7"/>
    </row>
    <row r="15" spans="1:5" s="6" customFormat="1" ht="12.75">
      <c r="A15" s="5" t="s">
        <v>15</v>
      </c>
      <c r="B15" s="138"/>
    </row>
    <row r="16" spans="1:5" s="1" customFormat="1" ht="12.75">
      <c r="A16" s="7" t="s">
        <v>16</v>
      </c>
      <c r="B16" s="79">
        <v>892900</v>
      </c>
    </row>
    <row r="17" spans="1:5" s="1" customFormat="1" ht="12.75">
      <c r="A17" s="7" t="s">
        <v>17</v>
      </c>
      <c r="B17" s="82">
        <v>0.21</v>
      </c>
    </row>
    <row r="19" spans="1:5" s="9" customFormat="1">
      <c r="A19" s="9" t="s">
        <v>18</v>
      </c>
    </row>
    <row r="20" spans="1:5">
      <c r="A20" t="s">
        <v>19</v>
      </c>
      <c r="D20" s="83" t="s">
        <v>20</v>
      </c>
    </row>
    <row r="21" spans="1:5">
      <c r="A21" t="s">
        <v>21</v>
      </c>
      <c r="D21" s="83" t="s">
        <v>20</v>
      </c>
    </row>
    <row r="22" spans="1:5">
      <c r="A22" t="s">
        <v>22</v>
      </c>
      <c r="D22" s="83" t="s">
        <v>23</v>
      </c>
    </row>
    <row r="24" spans="1:5">
      <c r="A24" s="9" t="s">
        <v>24</v>
      </c>
    </row>
    <row r="25" spans="1:5">
      <c r="A25" t="s">
        <v>25</v>
      </c>
      <c r="B25" s="84">
        <f>1.3*(1+1*(B27/(D46*D47)))</f>
        <v>1.3013238959152076</v>
      </c>
    </row>
    <row r="26" spans="1:5">
      <c r="A26" t="s">
        <v>26</v>
      </c>
      <c r="B26" s="91">
        <f>4.3%+3%</f>
        <v>7.2999999999999995E-2</v>
      </c>
    </row>
    <row r="27" spans="1:5">
      <c r="A27" t="s">
        <v>27</v>
      </c>
      <c r="B27" s="86">
        <f>B5*(1-(1+B26)^(-6))/B26+B11/(1+B26)^6</f>
        <v>3477.4237113225076</v>
      </c>
    </row>
    <row r="28" spans="1:5">
      <c r="D28" s="69"/>
    </row>
    <row r="29" spans="1:5" s="9" customFormat="1">
      <c r="A29" s="9" t="s">
        <v>28</v>
      </c>
    </row>
    <row r="30" spans="1:5" s="12" customFormat="1">
      <c r="A30" s="12" t="s">
        <v>29</v>
      </c>
      <c r="E30" s="87" t="s">
        <v>30</v>
      </c>
    </row>
    <row r="31" spans="1:5">
      <c r="A31" t="s">
        <v>31</v>
      </c>
      <c r="E31" s="50">
        <v>0</v>
      </c>
    </row>
    <row r="32" spans="1:5" s="1" customFormat="1" ht="12.75">
      <c r="A32" s="136" t="s">
        <v>32</v>
      </c>
      <c r="B32" s="66"/>
      <c r="E32" s="31" t="s">
        <v>23</v>
      </c>
    </row>
    <row r="33" spans="1:7" s="1" customFormat="1" ht="12.75">
      <c r="A33" s="136" t="s">
        <v>33</v>
      </c>
      <c r="B33" s="66"/>
      <c r="E33" s="88">
        <v>-0.1116</v>
      </c>
    </row>
    <row r="34" spans="1:7" s="1" customFormat="1" ht="12.75">
      <c r="A34" s="7" t="s">
        <v>34</v>
      </c>
      <c r="B34" s="66"/>
      <c r="E34" s="89">
        <v>3</v>
      </c>
    </row>
    <row r="35" spans="1:7" s="1" customFormat="1" ht="12.75">
      <c r="A35" s="136" t="s">
        <v>35</v>
      </c>
      <c r="B35" s="66"/>
      <c r="E35" s="90">
        <v>1.83</v>
      </c>
    </row>
    <row r="36" spans="1:7" s="1" customFormat="1" ht="12.75">
      <c r="A36" s="7"/>
      <c r="B36" s="66"/>
      <c r="E36" s="74"/>
    </row>
    <row r="37" spans="1:7">
      <c r="A37" s="9" t="s">
        <v>36</v>
      </c>
    </row>
    <row r="38" spans="1:7">
      <c r="A38" t="s">
        <v>37</v>
      </c>
      <c r="C38" s="85">
        <v>0.03</v>
      </c>
      <c r="D38" s="75" t="s">
        <v>38</v>
      </c>
    </row>
    <row r="39" spans="1:7">
      <c r="A39" t="s">
        <v>39</v>
      </c>
      <c r="C39" s="91">
        <f>31%</f>
        <v>0.31</v>
      </c>
      <c r="D39" s="48">
        <v>1.7</v>
      </c>
    </row>
    <row r="40" spans="1:7">
      <c r="A40" t="s">
        <v>40</v>
      </c>
      <c r="C40" s="91">
        <v>0.06</v>
      </c>
    </row>
    <row r="41" spans="1:7">
      <c r="A41" t="s">
        <v>41</v>
      </c>
      <c r="C41" s="92">
        <v>1.1000000000000001</v>
      </c>
    </row>
    <row r="42" spans="1:7">
      <c r="A42" t="s">
        <v>42</v>
      </c>
      <c r="C42" s="91">
        <v>0.06</v>
      </c>
      <c r="D42" s="123"/>
    </row>
    <row r="43" spans="1:7">
      <c r="A43" t="s">
        <v>43</v>
      </c>
      <c r="C43" s="91">
        <v>0.45</v>
      </c>
    </row>
    <row r="45" spans="1:7">
      <c r="A45" s="9" t="s">
        <v>44</v>
      </c>
    </row>
    <row r="46" spans="1:7">
      <c r="A46" t="s">
        <v>45</v>
      </c>
      <c r="D46" s="139">
        <f>390070.691+32535.408</f>
        <v>422606.09899999999</v>
      </c>
    </row>
    <row r="47" spans="1:7">
      <c r="A47" t="s">
        <v>46</v>
      </c>
      <c r="D47" s="93">
        <v>8.08</v>
      </c>
      <c r="G47" s="69"/>
    </row>
    <row r="48" spans="1:7">
      <c r="A48" t="s">
        <v>47</v>
      </c>
      <c r="D48" s="83"/>
    </row>
    <row r="49" spans="1:4">
      <c r="A49" t="s">
        <v>48</v>
      </c>
      <c r="D49" s="140">
        <v>3883.413</v>
      </c>
    </row>
    <row r="50" spans="1:4">
      <c r="A50" t="s">
        <v>49</v>
      </c>
      <c r="D50" s="83">
        <v>4.55</v>
      </c>
    </row>
    <row r="51" spans="1:4">
      <c r="A51" t="s">
        <v>50</v>
      </c>
      <c r="D51" s="83">
        <v>4.51</v>
      </c>
    </row>
    <row r="52" spans="1:4">
      <c r="A52" t="s">
        <v>51</v>
      </c>
      <c r="D52" s="85">
        <v>0.85</v>
      </c>
    </row>
    <row r="54" spans="1:4" s="9" customFormat="1">
      <c r="A54" s="9" t="s">
        <v>52</v>
      </c>
    </row>
    <row r="55" spans="1:4">
      <c r="A55" t="s">
        <v>53</v>
      </c>
      <c r="D55" s="50">
        <v>4.2999999999999997E-2</v>
      </c>
    </row>
    <row r="56" spans="1:4">
      <c r="A56" t="s">
        <v>54</v>
      </c>
      <c r="D56" s="50">
        <v>0.05</v>
      </c>
    </row>
    <row r="58" spans="1:4">
      <c r="A58" t="s">
        <v>55</v>
      </c>
    </row>
    <row r="59" spans="1:4">
      <c r="A59" t="s">
        <v>56</v>
      </c>
    </row>
    <row r="60" spans="1:4">
      <c r="A60" t="s">
        <v>57</v>
      </c>
      <c r="C60" s="48">
        <v>10</v>
      </c>
    </row>
    <row r="61" spans="1:4">
      <c r="A61" t="s">
        <v>58</v>
      </c>
      <c r="C61" s="48">
        <v>5</v>
      </c>
    </row>
  </sheetData>
  <phoneticPr fontId="21" type="noConversion"/>
  <pageMargins left="0.75" right="0.75" top="1" bottom="1" header="0.5" footer="0.5"/>
  <pageSetup paperSize="9" orientation="portrait" horizontalDpi="4294967293" verticalDpi="0"/>
  <headerFooter alignWithMargins="0"/>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4F6B7-764E-4970-A6F2-F149CAEF3FF5}">
  <dimension ref="A1:S101"/>
  <sheetViews>
    <sheetView workbookViewId="0">
      <pane xSplit="1" ySplit="1" topLeftCell="B2" activePane="bottomRight" state="frozen"/>
      <selection pane="bottomRight" activeCell="A49" sqref="A49"/>
      <selection pane="bottomLeft" activeCell="A2" sqref="A2"/>
      <selection pane="topRight" activeCell="B1" sqref="B1"/>
    </sheetView>
  </sheetViews>
  <sheetFormatPr defaultColWidth="11.42578125" defaultRowHeight="12"/>
  <cols>
    <col min="1" max="1" width="21.85546875" customWidth="1"/>
    <col min="3" max="3" width="12.28515625" customWidth="1"/>
    <col min="4" max="4" width="10.28515625" customWidth="1"/>
    <col min="5" max="5" width="16.140625" customWidth="1"/>
    <col min="6" max="6" width="14.85546875" customWidth="1"/>
    <col min="7" max="7" width="18.7109375" bestFit="1" customWidth="1"/>
    <col min="8" max="8" width="8" customWidth="1"/>
    <col min="9" max="9" width="20.42578125" customWidth="1"/>
    <col min="10" max="10" width="21.7109375" customWidth="1"/>
    <col min="11" max="11" width="10.140625" customWidth="1"/>
    <col min="12" max="12" width="16.85546875" customWidth="1"/>
    <col min="13" max="13" width="29.42578125" customWidth="1"/>
    <col min="14" max="14" width="15.140625" customWidth="1"/>
    <col min="15" max="15" width="11.28515625" customWidth="1"/>
  </cols>
  <sheetData>
    <row r="1" spans="1:19" s="75" customFormat="1">
      <c r="A1" s="119" t="s">
        <v>172</v>
      </c>
      <c r="B1" s="124" t="s">
        <v>322</v>
      </c>
      <c r="C1" s="125" t="s">
        <v>323</v>
      </c>
      <c r="D1" s="125" t="s">
        <v>324</v>
      </c>
      <c r="E1" s="125" t="s">
        <v>325</v>
      </c>
      <c r="F1" s="125" t="s">
        <v>326</v>
      </c>
      <c r="G1" s="125" t="s">
        <v>327</v>
      </c>
      <c r="H1" s="125" t="s">
        <v>328</v>
      </c>
      <c r="I1" s="125" t="s">
        <v>329</v>
      </c>
      <c r="J1" s="125" t="s">
        <v>330</v>
      </c>
      <c r="K1" s="125" t="s">
        <v>331</v>
      </c>
      <c r="L1" s="125" t="s">
        <v>332</v>
      </c>
      <c r="M1" s="125" t="s">
        <v>333</v>
      </c>
      <c r="N1" s="125" t="s">
        <v>334</v>
      </c>
      <c r="O1" s="125" t="s">
        <v>335</v>
      </c>
      <c r="P1" s="125" t="s">
        <v>336</v>
      </c>
      <c r="Q1" s="125" t="s">
        <v>83</v>
      </c>
      <c r="R1" s="126" t="s">
        <v>337</v>
      </c>
      <c r="S1" s="125" t="s">
        <v>338</v>
      </c>
    </row>
    <row r="2" spans="1:19">
      <c r="A2" s="117" t="s">
        <v>174</v>
      </c>
      <c r="B2" s="127">
        <v>31</v>
      </c>
      <c r="C2" s="128">
        <v>2.02</v>
      </c>
      <c r="D2" s="128">
        <v>1.75</v>
      </c>
      <c r="E2" s="129">
        <v>1.0128999999999999</v>
      </c>
      <c r="F2" s="129">
        <v>0.43259999999999998</v>
      </c>
      <c r="G2" s="129">
        <v>0.30199999999999999</v>
      </c>
      <c r="H2" s="129">
        <v>8.8900000000000007E-2</v>
      </c>
      <c r="I2" s="129">
        <v>0.10539999999999999</v>
      </c>
      <c r="J2" s="129">
        <v>0.10730000000000001</v>
      </c>
      <c r="K2" s="129">
        <v>0.1027</v>
      </c>
      <c r="L2" s="129">
        <v>7.4399999999999994E-2</v>
      </c>
      <c r="M2" s="129">
        <v>3.6299999999999999E-2</v>
      </c>
      <c r="N2" s="129">
        <v>0.54179999999999995</v>
      </c>
      <c r="O2" s="129">
        <v>-0.19839999999999999</v>
      </c>
      <c r="P2" s="129">
        <v>0.4375</v>
      </c>
      <c r="Q2" s="129">
        <v>-0.46139999999999998</v>
      </c>
      <c r="R2" s="128">
        <v>1.42</v>
      </c>
      <c r="S2" s="128">
        <v>1.1399999999999999</v>
      </c>
    </row>
    <row r="3" spans="1:19">
      <c r="A3" s="117" t="s">
        <v>175</v>
      </c>
      <c r="B3" s="127">
        <v>64</v>
      </c>
      <c r="C3" s="128">
        <v>1.1000000000000001</v>
      </c>
      <c r="D3" s="128">
        <v>1.03</v>
      </c>
      <c r="E3" s="129">
        <v>0.61319999999999997</v>
      </c>
      <c r="F3" s="129">
        <v>0.25659999999999999</v>
      </c>
      <c r="G3" s="129">
        <v>0.20419999999999999</v>
      </c>
      <c r="H3" s="129">
        <v>0.34</v>
      </c>
      <c r="I3" s="129">
        <v>0.18529999999999999</v>
      </c>
      <c r="J3" s="129">
        <v>0.2072</v>
      </c>
      <c r="K3" s="129">
        <v>0.1016</v>
      </c>
      <c r="L3" s="129">
        <v>7.3099999999999998E-2</v>
      </c>
      <c r="M3" s="129">
        <v>6.7799999999999999E-2</v>
      </c>
      <c r="N3" s="129">
        <v>1.2627999999999999</v>
      </c>
      <c r="O3" s="129">
        <v>2.8899999999999999E-2</v>
      </c>
      <c r="P3" s="129">
        <v>0.2913</v>
      </c>
      <c r="Q3" s="129">
        <v>0.1477</v>
      </c>
      <c r="R3" s="128">
        <v>2.5299999999999998</v>
      </c>
      <c r="S3" s="128">
        <v>0.93</v>
      </c>
    </row>
    <row r="4" spans="1:19">
      <c r="A4" s="117" t="s">
        <v>178</v>
      </c>
      <c r="B4" s="127">
        <v>36</v>
      </c>
      <c r="C4" s="128">
        <v>1.21</v>
      </c>
      <c r="D4" s="128">
        <v>1.1000000000000001</v>
      </c>
      <c r="E4" s="129">
        <v>0.64800000000000002</v>
      </c>
      <c r="F4" s="129">
        <v>0.2432</v>
      </c>
      <c r="G4" s="129">
        <v>0.1956</v>
      </c>
      <c r="H4" s="129">
        <v>1.089</v>
      </c>
      <c r="I4" s="129">
        <v>0.16450000000000001</v>
      </c>
      <c r="J4" s="129">
        <v>0.2054</v>
      </c>
      <c r="K4" s="129">
        <v>8.7800000000000003E-2</v>
      </c>
      <c r="L4" s="129">
        <v>6.8599999999999994E-2</v>
      </c>
      <c r="M4" s="129">
        <v>3.7600000000000001E-2</v>
      </c>
      <c r="N4" s="129">
        <v>1.2222</v>
      </c>
      <c r="O4" s="129">
        <v>-9.2499999999999999E-2</v>
      </c>
      <c r="P4" s="129">
        <v>0.18909999999999999</v>
      </c>
      <c r="Q4" s="129">
        <v>5.5399999999999998E-2</v>
      </c>
      <c r="R4" s="128">
        <v>2.4</v>
      </c>
      <c r="S4" s="128">
        <v>1.78</v>
      </c>
    </row>
    <row r="5" spans="1:19">
      <c r="A5" s="117" t="s">
        <v>184</v>
      </c>
      <c r="B5" s="127">
        <v>57</v>
      </c>
      <c r="C5" s="128">
        <v>1.3</v>
      </c>
      <c r="D5" s="128">
        <v>1.22</v>
      </c>
      <c r="E5" s="129">
        <v>0.88819999999999999</v>
      </c>
      <c r="F5" s="129">
        <v>0.18379999999999999</v>
      </c>
      <c r="G5" s="129">
        <v>0.15529999999999999</v>
      </c>
      <c r="H5" s="129">
        <v>0.1734</v>
      </c>
      <c r="I5" s="129">
        <v>0.14019999999999999</v>
      </c>
      <c r="J5" s="129">
        <v>0.1608</v>
      </c>
      <c r="K5" s="129">
        <v>0.10970000000000001</v>
      </c>
      <c r="L5" s="129">
        <v>7.5999999999999998E-2</v>
      </c>
      <c r="M5" s="129">
        <v>6.7199999999999996E-2</v>
      </c>
      <c r="N5" s="129">
        <v>1.0324</v>
      </c>
      <c r="O5" s="129">
        <v>0.1724</v>
      </c>
      <c r="P5" s="129">
        <v>0.1885</v>
      </c>
      <c r="Q5" s="129">
        <v>0.2213</v>
      </c>
      <c r="R5" s="128">
        <v>1.85</v>
      </c>
      <c r="S5" s="128">
        <v>1.19</v>
      </c>
    </row>
    <row r="6" spans="1:19">
      <c r="A6" s="117" t="s">
        <v>339</v>
      </c>
      <c r="B6" s="127">
        <v>51</v>
      </c>
      <c r="C6" s="128">
        <v>1.7</v>
      </c>
      <c r="D6" s="128">
        <v>1.59</v>
      </c>
      <c r="E6" s="129">
        <v>0.80579999999999996</v>
      </c>
      <c r="F6" s="129">
        <v>0.27650000000000002</v>
      </c>
      <c r="G6" s="129">
        <v>0.21659999999999999</v>
      </c>
      <c r="H6" s="129">
        <v>0.22589999999999999</v>
      </c>
      <c r="I6" s="129">
        <v>0.15820000000000001</v>
      </c>
      <c r="J6" s="129">
        <v>0.18990000000000001</v>
      </c>
      <c r="K6" s="129">
        <v>6.4899999999999999E-2</v>
      </c>
      <c r="L6" s="129">
        <v>4.9799999999999997E-2</v>
      </c>
      <c r="M6" s="129">
        <v>5.0999999999999997E-2</v>
      </c>
      <c r="N6" s="129">
        <v>0.96079999999999999</v>
      </c>
      <c r="O6" s="129">
        <v>5.5899999999999998E-2</v>
      </c>
      <c r="P6" s="129">
        <v>0.2374</v>
      </c>
      <c r="Q6" s="129">
        <v>0.15160000000000001</v>
      </c>
      <c r="R6" s="128">
        <v>3.18</v>
      </c>
      <c r="S6" s="128">
        <v>0.59</v>
      </c>
    </row>
    <row r="7" spans="1:19">
      <c r="A7" s="117" t="s">
        <v>340</v>
      </c>
      <c r="B7" s="127">
        <v>12</v>
      </c>
      <c r="C7" s="128">
        <v>1.59</v>
      </c>
      <c r="D7" s="128">
        <v>0.96</v>
      </c>
      <c r="E7" s="129">
        <v>0.68910000000000005</v>
      </c>
      <c r="F7" s="129">
        <v>1.3456999999999999</v>
      </c>
      <c r="G7" s="129">
        <v>0.57369999999999999</v>
      </c>
      <c r="H7" s="129">
        <v>0.18459999999999999</v>
      </c>
      <c r="I7" s="129">
        <v>6.9599999999999995E-2</v>
      </c>
      <c r="J7" s="129">
        <v>0.2407</v>
      </c>
      <c r="K7" s="129">
        <v>6.9900000000000004E-2</v>
      </c>
      <c r="L7" s="129">
        <v>4.9399999999999999E-2</v>
      </c>
      <c r="M7" s="129">
        <v>3.3599999999999998E-2</v>
      </c>
      <c r="N7" s="129">
        <v>0.87039999999999995</v>
      </c>
      <c r="O7" s="129">
        <v>0.19370000000000001</v>
      </c>
      <c r="P7" s="129">
        <v>0.22239999999999999</v>
      </c>
      <c r="Q7" s="129">
        <v>-0.22370000000000001</v>
      </c>
      <c r="R7" s="128">
        <v>1.41</v>
      </c>
      <c r="S7" s="128">
        <v>0.73</v>
      </c>
    </row>
    <row r="8" spans="1:19">
      <c r="A8" s="117" t="s">
        <v>192</v>
      </c>
      <c r="B8" s="127">
        <v>426</v>
      </c>
      <c r="C8" s="128">
        <v>0.77</v>
      </c>
      <c r="D8" s="128">
        <v>0.38</v>
      </c>
      <c r="E8" s="129">
        <v>0.61150000000000004</v>
      </c>
      <c r="F8" s="129">
        <v>1.5610999999999999</v>
      </c>
      <c r="G8" s="129">
        <v>0.60950000000000004</v>
      </c>
      <c r="H8" s="129">
        <v>7.5999999999999998E-2</v>
      </c>
      <c r="I8" s="129" t="s">
        <v>341</v>
      </c>
      <c r="J8" s="129">
        <v>0.15970000000000001</v>
      </c>
      <c r="K8" s="129" t="s">
        <v>341</v>
      </c>
      <c r="L8" s="129" t="s">
        <v>341</v>
      </c>
      <c r="M8" s="129" t="s">
        <v>341</v>
      </c>
      <c r="N8" s="129" t="s">
        <v>341</v>
      </c>
      <c r="O8" s="129" t="s">
        <v>341</v>
      </c>
      <c r="P8" s="129">
        <v>0.33529999999999999</v>
      </c>
      <c r="Q8" s="129">
        <v>0</v>
      </c>
      <c r="R8" s="128" t="s">
        <v>341</v>
      </c>
      <c r="S8" s="128" t="s">
        <v>341</v>
      </c>
    </row>
    <row r="9" spans="1:19">
      <c r="A9" s="117" t="s">
        <v>195</v>
      </c>
      <c r="B9" s="127">
        <v>45</v>
      </c>
      <c r="C9" s="128">
        <v>0.93</v>
      </c>
      <c r="D9" s="128">
        <v>0.73</v>
      </c>
      <c r="E9" s="129">
        <v>0.55600000000000005</v>
      </c>
      <c r="F9" s="129">
        <v>0.59519999999999995</v>
      </c>
      <c r="G9" s="129">
        <v>0.37309999999999999</v>
      </c>
      <c r="H9" s="129">
        <v>9.0800000000000006E-2</v>
      </c>
      <c r="I9" s="129" t="s">
        <v>341</v>
      </c>
      <c r="J9" s="129">
        <v>0.1777</v>
      </c>
      <c r="K9" s="129" t="s">
        <v>341</v>
      </c>
      <c r="L9" s="129" t="s">
        <v>341</v>
      </c>
      <c r="M9" s="129" t="s">
        <v>341</v>
      </c>
      <c r="N9" s="129" t="s">
        <v>341</v>
      </c>
      <c r="O9" s="129" t="s">
        <v>341</v>
      </c>
      <c r="P9" s="129">
        <v>0.3836</v>
      </c>
      <c r="Q9" s="129">
        <v>0</v>
      </c>
      <c r="R9" s="128" t="s">
        <v>341</v>
      </c>
      <c r="S9" s="128" t="s">
        <v>341</v>
      </c>
    </row>
    <row r="10" spans="1:19">
      <c r="A10" s="117" t="s">
        <v>342</v>
      </c>
      <c r="B10" s="127">
        <v>34</v>
      </c>
      <c r="C10" s="128">
        <v>0.88</v>
      </c>
      <c r="D10" s="128">
        <v>0.77</v>
      </c>
      <c r="E10" s="129">
        <v>0.66049999999999998</v>
      </c>
      <c r="F10" s="129">
        <v>0.26519999999999999</v>
      </c>
      <c r="G10" s="129">
        <v>0.20960000000000001</v>
      </c>
      <c r="H10" s="129">
        <v>0.24579999999999999</v>
      </c>
      <c r="I10" s="129">
        <v>0.1295</v>
      </c>
      <c r="J10" s="129">
        <v>0.19139999999999999</v>
      </c>
      <c r="K10" s="129">
        <v>0.20449999999999999</v>
      </c>
      <c r="L10" s="129">
        <v>0.156</v>
      </c>
      <c r="M10" s="129">
        <v>0.1399</v>
      </c>
      <c r="N10" s="129">
        <v>0.87239999999999995</v>
      </c>
      <c r="O10" s="129">
        <v>1.0800000000000001E-2</v>
      </c>
      <c r="P10" s="129">
        <v>0.46350000000000002</v>
      </c>
      <c r="Q10" s="129">
        <v>-2.46E-2</v>
      </c>
      <c r="R10" s="128">
        <v>0.83</v>
      </c>
      <c r="S10" s="128">
        <v>3.03</v>
      </c>
    </row>
    <row r="11" spans="1:19">
      <c r="A11" s="117" t="s">
        <v>343</v>
      </c>
      <c r="B11" s="127">
        <v>158</v>
      </c>
      <c r="C11" s="128">
        <v>1.03</v>
      </c>
      <c r="D11" s="128">
        <v>1.1599999999999999</v>
      </c>
      <c r="E11" s="129">
        <v>1.1311</v>
      </c>
      <c r="F11" s="129">
        <v>0.1348</v>
      </c>
      <c r="G11" s="129">
        <v>0.1188</v>
      </c>
      <c r="H11" s="129">
        <v>0.1515</v>
      </c>
      <c r="I11" s="129">
        <v>-0.1333</v>
      </c>
      <c r="J11" s="129">
        <v>2.4899999999999999E-2</v>
      </c>
      <c r="K11" s="129">
        <v>-7.7899999999999997E-2</v>
      </c>
      <c r="L11" s="129">
        <v>-0.13730000000000001</v>
      </c>
      <c r="M11" s="129">
        <v>9.11E-2</v>
      </c>
      <c r="N11" s="129">
        <v>0.84419999999999995</v>
      </c>
      <c r="O11" s="129">
        <v>-5.8299999999999998E-2</v>
      </c>
      <c r="P11" s="129">
        <v>0.59340000000000004</v>
      </c>
      <c r="Q11" s="129" t="s">
        <v>341</v>
      </c>
      <c r="R11" s="128">
        <v>0.97</v>
      </c>
      <c r="S11" s="128">
        <v>4.49</v>
      </c>
    </row>
    <row r="12" spans="1:19">
      <c r="A12" s="117" t="s">
        <v>198</v>
      </c>
      <c r="B12" s="127">
        <v>45</v>
      </c>
      <c r="C12" s="128">
        <v>1.5</v>
      </c>
      <c r="D12" s="128">
        <v>0.89</v>
      </c>
      <c r="E12" s="129">
        <v>0.7883</v>
      </c>
      <c r="F12" s="129">
        <v>0.94330000000000003</v>
      </c>
      <c r="G12" s="129">
        <v>0.4854</v>
      </c>
      <c r="H12" s="129">
        <v>-5.1700000000000003E-2</v>
      </c>
      <c r="I12" s="129">
        <v>2.58E-2</v>
      </c>
      <c r="J12" s="129">
        <v>0.11169999999999999</v>
      </c>
      <c r="K12" s="129">
        <v>4.1700000000000001E-2</v>
      </c>
      <c r="L12" s="129">
        <v>3.1600000000000003E-2</v>
      </c>
      <c r="M12" s="129">
        <v>-4.0099999999999997E-2</v>
      </c>
      <c r="N12" s="129">
        <v>0.48</v>
      </c>
      <c r="O12" s="129">
        <v>7.6600000000000001E-2</v>
      </c>
      <c r="P12" s="129" t="s">
        <v>341</v>
      </c>
      <c r="Q12" s="129">
        <v>-1.0683</v>
      </c>
      <c r="R12" s="128">
        <v>0.82</v>
      </c>
      <c r="S12" s="128">
        <v>1.22</v>
      </c>
    </row>
    <row r="13" spans="1:19">
      <c r="A13" s="117" t="s">
        <v>199</v>
      </c>
      <c r="B13" s="127">
        <v>21</v>
      </c>
      <c r="C13" s="128">
        <v>1.37</v>
      </c>
      <c r="D13" s="128">
        <v>0.98</v>
      </c>
      <c r="E13" s="129">
        <v>0.50770000000000004</v>
      </c>
      <c r="F13" s="129">
        <v>0.68059999999999998</v>
      </c>
      <c r="G13" s="129">
        <v>0.40500000000000003</v>
      </c>
      <c r="H13" s="129">
        <v>0.1613</v>
      </c>
      <c r="I13" s="129">
        <v>8.7999999999999995E-2</v>
      </c>
      <c r="J13" s="129">
        <v>0.27350000000000002</v>
      </c>
      <c r="K13" s="129">
        <v>0.1958</v>
      </c>
      <c r="L13" s="129">
        <v>0.12429999999999999</v>
      </c>
      <c r="M13" s="129">
        <v>9.0200000000000002E-2</v>
      </c>
      <c r="N13" s="129">
        <v>0.85319999999999996</v>
      </c>
      <c r="O13" s="129">
        <v>-9.6500000000000002E-2</v>
      </c>
      <c r="P13" s="129">
        <v>0.18029999999999999</v>
      </c>
      <c r="Q13" s="129">
        <v>-0.30819999999999997</v>
      </c>
      <c r="R13" s="128">
        <v>0.71</v>
      </c>
      <c r="S13" s="128">
        <v>2.21</v>
      </c>
    </row>
    <row r="14" spans="1:19">
      <c r="A14" s="117" t="s">
        <v>202</v>
      </c>
      <c r="B14" s="127">
        <v>16</v>
      </c>
      <c r="C14" s="128">
        <v>1.36</v>
      </c>
      <c r="D14" s="128">
        <v>1.24</v>
      </c>
      <c r="E14" s="129">
        <v>0.49270000000000003</v>
      </c>
      <c r="F14" s="129">
        <v>0.27350000000000002</v>
      </c>
      <c r="G14" s="129">
        <v>0.2147</v>
      </c>
      <c r="H14" s="129">
        <v>0.25829999999999997</v>
      </c>
      <c r="I14" s="129">
        <v>0.1366</v>
      </c>
      <c r="J14" s="129">
        <v>0.20899999999999999</v>
      </c>
      <c r="K14" s="129">
        <v>0.12089999999999999</v>
      </c>
      <c r="L14" s="129">
        <v>9.5600000000000004E-2</v>
      </c>
      <c r="M14" s="129">
        <v>0.1246</v>
      </c>
      <c r="N14" s="129">
        <v>1.2681</v>
      </c>
      <c r="O14" s="129">
        <v>9.6799999999999997E-2</v>
      </c>
      <c r="P14" s="129">
        <v>0.30790000000000001</v>
      </c>
      <c r="Q14" s="129">
        <v>0.29239999999999999</v>
      </c>
      <c r="R14" s="128">
        <v>1.43</v>
      </c>
      <c r="S14" s="128">
        <v>1.52</v>
      </c>
    </row>
    <row r="15" spans="1:19">
      <c r="A15" s="117" t="s">
        <v>203</v>
      </c>
      <c r="B15" s="127">
        <v>31</v>
      </c>
      <c r="C15" s="128">
        <v>1.51</v>
      </c>
      <c r="D15" s="128">
        <v>1.39</v>
      </c>
      <c r="E15" s="129">
        <v>0.56310000000000004</v>
      </c>
      <c r="F15" s="129">
        <v>0.22370000000000001</v>
      </c>
      <c r="G15" s="129">
        <v>0.18279999999999999</v>
      </c>
      <c r="H15" s="129">
        <v>0.19259999999999999</v>
      </c>
      <c r="I15" s="129">
        <v>0.1381</v>
      </c>
      <c r="J15" s="129">
        <v>0.21729999999999999</v>
      </c>
      <c r="K15" s="129">
        <v>0.13200000000000001</v>
      </c>
      <c r="L15" s="129">
        <v>9.2999999999999999E-2</v>
      </c>
      <c r="M15" s="129">
        <v>8.7900000000000006E-2</v>
      </c>
      <c r="N15" s="129">
        <v>1.0437000000000001</v>
      </c>
      <c r="O15" s="129">
        <v>0.15579999999999999</v>
      </c>
      <c r="P15" s="129">
        <v>0.31680000000000003</v>
      </c>
      <c r="Q15" s="129">
        <v>0.47920000000000001</v>
      </c>
      <c r="R15" s="128">
        <v>1.48</v>
      </c>
      <c r="S15" s="128">
        <v>1.62</v>
      </c>
    </row>
    <row r="16" spans="1:19">
      <c r="A16" s="117" t="s">
        <v>204</v>
      </c>
      <c r="B16" s="127">
        <v>70</v>
      </c>
      <c r="C16" s="128">
        <v>1.28</v>
      </c>
      <c r="D16" s="128">
        <v>1.1499999999999999</v>
      </c>
      <c r="E16" s="129">
        <v>0.71599999999999997</v>
      </c>
      <c r="F16" s="129">
        <v>0.21149999999999999</v>
      </c>
      <c r="G16" s="129">
        <v>0.17460000000000001</v>
      </c>
      <c r="H16" s="129">
        <v>0.185</v>
      </c>
      <c r="I16" s="129">
        <v>0.1225</v>
      </c>
      <c r="J16" s="129">
        <v>0.17580000000000001</v>
      </c>
      <c r="K16" s="129">
        <v>0.111</v>
      </c>
      <c r="L16" s="129">
        <v>7.8700000000000006E-2</v>
      </c>
      <c r="M16" s="129">
        <v>8.0399999999999999E-2</v>
      </c>
      <c r="N16" s="129">
        <v>0.96779999999999999</v>
      </c>
      <c r="O16" s="129">
        <v>0.126</v>
      </c>
      <c r="P16" s="129">
        <v>0.40429999999999999</v>
      </c>
      <c r="Q16" s="129">
        <v>0.12989999999999999</v>
      </c>
      <c r="R16" s="128">
        <v>1.56</v>
      </c>
      <c r="S16" s="128">
        <v>1.56</v>
      </c>
    </row>
    <row r="17" spans="1:19">
      <c r="A17" s="117" t="s">
        <v>344</v>
      </c>
      <c r="B17" s="127">
        <v>20</v>
      </c>
      <c r="C17" s="128">
        <v>1.53</v>
      </c>
      <c r="D17" s="128">
        <v>1.32</v>
      </c>
      <c r="E17" s="129">
        <v>0.55520000000000003</v>
      </c>
      <c r="F17" s="129">
        <v>0.28899999999999998</v>
      </c>
      <c r="G17" s="129">
        <v>0.22420000000000001</v>
      </c>
      <c r="H17" s="129">
        <v>0.2424</v>
      </c>
      <c r="I17" s="129">
        <v>0.15260000000000001</v>
      </c>
      <c r="J17" s="129">
        <v>0.1275</v>
      </c>
      <c r="K17" s="129">
        <v>0.15939999999999999</v>
      </c>
      <c r="L17" s="129">
        <v>0.12529999999999999</v>
      </c>
      <c r="M17" s="129">
        <v>0.12</v>
      </c>
      <c r="N17" s="129">
        <v>1.4173</v>
      </c>
      <c r="O17" s="129">
        <v>3.61E-2</v>
      </c>
      <c r="P17" s="129">
        <v>0.33779999999999999</v>
      </c>
      <c r="Q17" s="129">
        <v>0.37480000000000002</v>
      </c>
      <c r="R17" s="128">
        <v>1.22</v>
      </c>
      <c r="S17" s="128">
        <v>1.78</v>
      </c>
    </row>
    <row r="18" spans="1:19">
      <c r="A18" s="117" t="s">
        <v>345</v>
      </c>
      <c r="B18" s="127">
        <v>184</v>
      </c>
      <c r="C18" s="128">
        <v>1.04</v>
      </c>
      <c r="D18" s="128">
        <v>1.18</v>
      </c>
      <c r="E18" s="129">
        <v>0.82030000000000003</v>
      </c>
      <c r="F18" s="129">
        <v>7.4899999999999994E-2</v>
      </c>
      <c r="G18" s="129">
        <v>6.9699999999999998E-2</v>
      </c>
      <c r="H18" s="129">
        <v>0.7913</v>
      </c>
      <c r="I18" s="129">
        <v>0.4506</v>
      </c>
      <c r="J18" s="129">
        <v>0.1227</v>
      </c>
      <c r="K18" s="129">
        <v>0.3135</v>
      </c>
      <c r="L18" s="129">
        <v>0.2462</v>
      </c>
      <c r="M18" s="129">
        <v>0.24779999999999999</v>
      </c>
      <c r="N18" s="129">
        <v>0.6472</v>
      </c>
      <c r="O18" s="129">
        <v>-0.1116</v>
      </c>
      <c r="P18" s="129">
        <v>0.21609999999999999</v>
      </c>
      <c r="Q18" s="129">
        <v>-9.0499999999999997E-2</v>
      </c>
      <c r="R18" s="128">
        <v>1.83</v>
      </c>
      <c r="S18" s="128">
        <v>3.07</v>
      </c>
    </row>
    <row r="19" spans="1:19">
      <c r="A19" s="117" t="s">
        <v>346</v>
      </c>
      <c r="B19" s="127">
        <v>87</v>
      </c>
      <c r="C19" s="128">
        <v>1.3</v>
      </c>
      <c r="D19" s="128">
        <v>1.33</v>
      </c>
      <c r="E19" s="129">
        <v>0.97689999999999999</v>
      </c>
      <c r="F19" s="129">
        <v>0.1023</v>
      </c>
      <c r="G19" s="129">
        <v>9.2799999999999994E-2</v>
      </c>
      <c r="H19" s="129">
        <v>0.5252</v>
      </c>
      <c r="I19" s="129">
        <v>0.32090000000000002</v>
      </c>
      <c r="J19" s="129">
        <v>0.1177</v>
      </c>
      <c r="K19" s="129">
        <v>0.14149999999999999</v>
      </c>
      <c r="L19" s="129">
        <v>0.10829999999999999</v>
      </c>
      <c r="M19" s="129">
        <v>0.1074</v>
      </c>
      <c r="N19" s="129">
        <v>1.0358000000000001</v>
      </c>
      <c r="O19" s="129">
        <v>-1.9699999999999999E-2</v>
      </c>
      <c r="P19" s="129">
        <v>8.6099999999999996E-2</v>
      </c>
      <c r="Q19" s="129">
        <v>1.2200000000000001E-2</v>
      </c>
      <c r="R19" s="128">
        <v>2.96</v>
      </c>
      <c r="S19" s="128">
        <v>1.39</v>
      </c>
    </row>
    <row r="20" spans="1:19">
      <c r="A20" s="117" t="s">
        <v>209</v>
      </c>
      <c r="B20" s="127">
        <v>107</v>
      </c>
      <c r="C20" s="128">
        <v>1.1399999999999999</v>
      </c>
      <c r="D20" s="128">
        <v>0.71</v>
      </c>
      <c r="E20" s="129">
        <v>0.75</v>
      </c>
      <c r="F20" s="129">
        <v>1.0224</v>
      </c>
      <c r="G20" s="129">
        <v>0.50549999999999995</v>
      </c>
      <c r="H20" s="129">
        <v>0.33279999999999998</v>
      </c>
      <c r="I20" s="129">
        <v>8.0100000000000005E-2</v>
      </c>
      <c r="J20" s="129">
        <v>0.1555</v>
      </c>
      <c r="K20" s="129">
        <v>0.1409</v>
      </c>
      <c r="L20" s="129">
        <v>0.1176</v>
      </c>
      <c r="M20" s="129">
        <v>9.2100000000000001E-2</v>
      </c>
      <c r="N20" s="129">
        <v>0.89239999999999997</v>
      </c>
      <c r="O20" s="129">
        <v>0.71650000000000003</v>
      </c>
      <c r="P20" s="129">
        <v>0.36809999999999998</v>
      </c>
      <c r="Q20" s="129">
        <v>1.67E-2</v>
      </c>
      <c r="R20" s="128">
        <v>0.68</v>
      </c>
      <c r="S20" s="128">
        <v>2.11</v>
      </c>
    </row>
    <row r="21" spans="1:19">
      <c r="A21" s="117" t="s">
        <v>210</v>
      </c>
      <c r="B21" s="127">
        <v>279</v>
      </c>
      <c r="C21" s="128">
        <v>1.1200000000000001</v>
      </c>
      <c r="D21" s="128">
        <v>1.08</v>
      </c>
      <c r="E21" s="129">
        <v>1.0344</v>
      </c>
      <c r="F21" s="129">
        <v>0.15459999999999999</v>
      </c>
      <c r="G21" s="129">
        <v>0.13389999999999999</v>
      </c>
      <c r="H21" s="129">
        <v>0.22639999999999999</v>
      </c>
      <c r="I21" s="129">
        <v>0.1502</v>
      </c>
      <c r="J21" s="129">
        <v>5.3600000000000002E-2</v>
      </c>
      <c r="K21" s="129">
        <v>0.21909999999999999</v>
      </c>
      <c r="L21" s="129">
        <v>0.1696</v>
      </c>
      <c r="M21" s="129">
        <v>0.1799</v>
      </c>
      <c r="N21" s="129">
        <v>0.37390000000000001</v>
      </c>
      <c r="O21" s="129">
        <v>7.5300000000000006E-2</v>
      </c>
      <c r="P21" s="129">
        <v>0.49120000000000003</v>
      </c>
      <c r="Q21" s="129">
        <v>-0.28689999999999999</v>
      </c>
      <c r="R21" s="128">
        <v>0.89</v>
      </c>
      <c r="S21" s="128">
        <v>2.85</v>
      </c>
    </row>
    <row r="22" spans="1:19">
      <c r="A22" s="117" t="s">
        <v>347</v>
      </c>
      <c r="B22" s="127">
        <v>57</v>
      </c>
      <c r="C22" s="128">
        <v>1.03</v>
      </c>
      <c r="D22" s="128">
        <v>1.08</v>
      </c>
      <c r="E22" s="129">
        <v>0.88129999999999997</v>
      </c>
      <c r="F22" s="129">
        <v>6.4000000000000001E-2</v>
      </c>
      <c r="G22" s="129">
        <v>6.0199999999999997E-2</v>
      </c>
      <c r="H22" s="129">
        <v>0.16470000000000001</v>
      </c>
      <c r="I22" s="129">
        <v>0.1308</v>
      </c>
      <c r="J22" s="129">
        <v>0.12330000000000001</v>
      </c>
      <c r="K22" s="129">
        <v>0.1439</v>
      </c>
      <c r="L22" s="129">
        <v>0.1087</v>
      </c>
      <c r="M22" s="129">
        <v>0.10730000000000001</v>
      </c>
      <c r="N22" s="129">
        <v>1.2844</v>
      </c>
      <c r="O22" s="129">
        <v>-0.11600000000000001</v>
      </c>
      <c r="P22" s="129">
        <v>1.89E-2</v>
      </c>
      <c r="Q22" s="129">
        <v>-2.5600000000000001E-2</v>
      </c>
      <c r="R22" s="128">
        <v>1.2</v>
      </c>
      <c r="S22" s="128">
        <v>4.55</v>
      </c>
    </row>
    <row r="23" spans="1:19">
      <c r="A23" s="117" t="s">
        <v>212</v>
      </c>
      <c r="B23" s="127">
        <v>34</v>
      </c>
      <c r="C23" s="128">
        <v>0.83</v>
      </c>
      <c r="D23" s="128">
        <v>0.92</v>
      </c>
      <c r="E23" s="129">
        <v>0.78239999999999998</v>
      </c>
      <c r="F23" s="129">
        <v>0.12330000000000001</v>
      </c>
      <c r="G23" s="129">
        <v>0.10970000000000001</v>
      </c>
      <c r="H23" s="129">
        <v>0.53220000000000001</v>
      </c>
      <c r="I23" s="129">
        <v>0.34339999999999998</v>
      </c>
      <c r="J23" s="129">
        <v>0.25169999999999998</v>
      </c>
      <c r="K23" s="129">
        <v>0.20799999999999999</v>
      </c>
      <c r="L23" s="129">
        <v>0.12909999999999999</v>
      </c>
      <c r="M23" s="129">
        <v>0.1186</v>
      </c>
      <c r="N23" s="129">
        <v>1.3138000000000001</v>
      </c>
      <c r="O23" s="129">
        <v>-7.8200000000000006E-2</v>
      </c>
      <c r="P23" s="129">
        <v>2.8299999999999999E-2</v>
      </c>
      <c r="Q23" s="129">
        <v>8.0699999999999994E-2</v>
      </c>
      <c r="R23" s="128">
        <v>2.66</v>
      </c>
      <c r="S23" s="128">
        <v>1.1399999999999999</v>
      </c>
    </row>
    <row r="24" spans="1:19">
      <c r="A24" s="117" t="s">
        <v>213</v>
      </c>
      <c r="B24" s="127">
        <v>21</v>
      </c>
      <c r="C24" s="128">
        <v>0.75</v>
      </c>
      <c r="D24" s="128">
        <v>0.48</v>
      </c>
      <c r="E24" s="129">
        <v>0.23369999999999999</v>
      </c>
      <c r="F24" s="129">
        <v>0.86160000000000003</v>
      </c>
      <c r="G24" s="129">
        <v>0.46279999999999999</v>
      </c>
      <c r="H24" s="129">
        <v>0.1077</v>
      </c>
      <c r="I24" s="129">
        <v>6.3799999999999996E-2</v>
      </c>
      <c r="J24" s="129">
        <v>0.31819999999999998</v>
      </c>
      <c r="K24" s="129">
        <v>0.1772</v>
      </c>
      <c r="L24" s="129">
        <v>0.1158</v>
      </c>
      <c r="M24" s="129">
        <v>8.8900000000000007E-2</v>
      </c>
      <c r="N24" s="129">
        <v>1.5853999999999999</v>
      </c>
      <c r="O24" s="129">
        <v>8.9800000000000005E-2</v>
      </c>
      <c r="P24" s="129">
        <v>0.63880000000000003</v>
      </c>
      <c r="Q24" s="129">
        <v>0.56889999999999996</v>
      </c>
      <c r="R24" s="128">
        <v>0.55000000000000004</v>
      </c>
      <c r="S24" s="128">
        <v>2.2599999999999998</v>
      </c>
    </row>
    <row r="25" spans="1:19">
      <c r="A25" s="117" t="s">
        <v>214</v>
      </c>
      <c r="B25" s="127">
        <v>21</v>
      </c>
      <c r="C25" s="128">
        <v>0.7</v>
      </c>
      <c r="D25" s="128">
        <v>0.49</v>
      </c>
      <c r="E25" s="129">
        <v>0.183</v>
      </c>
      <c r="F25" s="129">
        <v>0.66159999999999997</v>
      </c>
      <c r="G25" s="129">
        <v>0.3982</v>
      </c>
      <c r="H25" s="129">
        <v>0.1191</v>
      </c>
      <c r="I25" s="129">
        <v>6.8900000000000003E-2</v>
      </c>
      <c r="J25" s="129">
        <v>0.33139999999999997</v>
      </c>
      <c r="K25" s="129">
        <v>0.1913</v>
      </c>
      <c r="L25" s="129">
        <v>0.12659999999999999</v>
      </c>
      <c r="M25" s="129">
        <v>9.7699999999999995E-2</v>
      </c>
      <c r="N25" s="129">
        <v>2.0106999999999999</v>
      </c>
      <c r="O25" s="129">
        <v>8.3299999999999999E-2</v>
      </c>
      <c r="P25" s="129">
        <v>0.66220000000000001</v>
      </c>
      <c r="Q25" s="129">
        <v>0.82350000000000001</v>
      </c>
      <c r="R25" s="128">
        <v>0.54</v>
      </c>
      <c r="S25" s="128">
        <v>2.5099999999999998</v>
      </c>
    </row>
    <row r="26" spans="1:19">
      <c r="A26" s="117" t="s">
        <v>215</v>
      </c>
      <c r="B26" s="127">
        <v>14</v>
      </c>
      <c r="C26" s="128">
        <v>0.75</v>
      </c>
      <c r="D26" s="128">
        <v>0.49</v>
      </c>
      <c r="E26" s="129">
        <v>0.19850000000000001</v>
      </c>
      <c r="F26" s="129">
        <v>0.84540000000000004</v>
      </c>
      <c r="G26" s="129">
        <v>0.45810000000000001</v>
      </c>
      <c r="H26" s="129">
        <v>9.8799999999999999E-2</v>
      </c>
      <c r="I26" s="129">
        <v>6.1100000000000002E-2</v>
      </c>
      <c r="J26" s="129">
        <v>0.313</v>
      </c>
      <c r="K26" s="129">
        <v>0.16789999999999999</v>
      </c>
      <c r="L26" s="129">
        <v>0.1138</v>
      </c>
      <c r="M26" s="129">
        <v>8.5300000000000001E-2</v>
      </c>
      <c r="N26" s="129">
        <v>2.1061000000000001</v>
      </c>
      <c r="O26" s="129">
        <v>-5.8999999999999999E-3</v>
      </c>
      <c r="P26" s="129">
        <v>0.56699999999999995</v>
      </c>
      <c r="Q26" s="129">
        <v>1.1742999999999999</v>
      </c>
      <c r="R26" s="128">
        <v>0.54</v>
      </c>
      <c r="S26" s="128">
        <v>2.19</v>
      </c>
    </row>
    <row r="27" spans="1:19">
      <c r="A27" s="117" t="s">
        <v>216</v>
      </c>
      <c r="B27" s="127">
        <v>68</v>
      </c>
      <c r="C27" s="128">
        <v>1.33</v>
      </c>
      <c r="D27" s="128">
        <v>1.35</v>
      </c>
      <c r="E27" s="129">
        <v>0.67759999999999998</v>
      </c>
      <c r="F27" s="129">
        <v>0.12659999999999999</v>
      </c>
      <c r="G27" s="129">
        <v>0.1124</v>
      </c>
      <c r="H27" s="129">
        <v>0.23019999999999999</v>
      </c>
      <c r="I27" s="129">
        <v>0.15029999999999999</v>
      </c>
      <c r="J27" s="129">
        <v>0.17019999999999999</v>
      </c>
      <c r="K27" s="129">
        <v>0.13189999999999999</v>
      </c>
      <c r="L27" s="129">
        <v>9.9500000000000005E-2</v>
      </c>
      <c r="M27" s="129">
        <v>0.1212</v>
      </c>
      <c r="N27" s="129">
        <v>0.86140000000000005</v>
      </c>
      <c r="O27" s="129">
        <v>0.12280000000000001</v>
      </c>
      <c r="P27" s="129">
        <v>0.29399999999999998</v>
      </c>
      <c r="Q27" s="129">
        <v>9.1700000000000004E-2</v>
      </c>
      <c r="R27" s="128">
        <v>1.51</v>
      </c>
      <c r="S27" s="128">
        <v>1.54</v>
      </c>
    </row>
    <row r="28" spans="1:19">
      <c r="A28" s="117" t="s">
        <v>217</v>
      </c>
      <c r="B28" s="127">
        <v>139</v>
      </c>
      <c r="C28" s="128">
        <v>1.07</v>
      </c>
      <c r="D28" s="128">
        <v>1.08</v>
      </c>
      <c r="E28" s="129">
        <v>0.89929999999999999</v>
      </c>
      <c r="F28" s="129">
        <v>0.2233</v>
      </c>
      <c r="G28" s="129">
        <v>0.1825</v>
      </c>
      <c r="H28" s="129">
        <v>0.222</v>
      </c>
      <c r="I28" s="129">
        <v>0.15720000000000001</v>
      </c>
      <c r="J28" s="129">
        <v>0.1036</v>
      </c>
      <c r="K28" s="129">
        <v>5.9900000000000002E-2</v>
      </c>
      <c r="L28" s="129">
        <v>4.48E-2</v>
      </c>
      <c r="M28" s="129">
        <v>4.6300000000000001E-2</v>
      </c>
      <c r="N28" s="129">
        <v>1.0397000000000001</v>
      </c>
      <c r="O28" s="129">
        <v>0.10630000000000001</v>
      </c>
      <c r="P28" s="129">
        <v>0.1197</v>
      </c>
      <c r="Q28" s="129">
        <v>0.18609999999999999</v>
      </c>
      <c r="R28" s="128">
        <v>3.51</v>
      </c>
      <c r="S28" s="128">
        <v>0.47</v>
      </c>
    </row>
    <row r="29" spans="1:19">
      <c r="A29" s="117" t="s">
        <v>348</v>
      </c>
      <c r="B29" s="127">
        <v>25</v>
      </c>
      <c r="C29" s="128">
        <v>1.22</v>
      </c>
      <c r="D29" s="128">
        <v>1.39</v>
      </c>
      <c r="E29" s="129">
        <v>0.65029999999999999</v>
      </c>
      <c r="F29" s="129">
        <v>0.11990000000000001</v>
      </c>
      <c r="G29" s="129">
        <v>0.1071</v>
      </c>
      <c r="H29" s="129">
        <v>0.15440000000000001</v>
      </c>
      <c r="I29" s="129">
        <v>0.1358</v>
      </c>
      <c r="J29" s="129">
        <v>0.2626</v>
      </c>
      <c r="K29" s="129">
        <v>4.7199999999999999E-2</v>
      </c>
      <c r="L29" s="129">
        <v>3.3500000000000002E-2</v>
      </c>
      <c r="M29" s="129">
        <v>3.4700000000000002E-2</v>
      </c>
      <c r="N29" s="129">
        <v>0.84230000000000005</v>
      </c>
      <c r="O29" s="129">
        <v>3.3000000000000002E-2</v>
      </c>
      <c r="P29" s="129">
        <v>6.3100000000000003E-2</v>
      </c>
      <c r="Q29" s="129">
        <v>-9.01E-2</v>
      </c>
      <c r="R29" s="128">
        <v>4.05</v>
      </c>
      <c r="S29" s="128">
        <v>0.46</v>
      </c>
    </row>
    <row r="30" spans="1:19">
      <c r="A30" s="117" t="s">
        <v>218</v>
      </c>
      <c r="B30" s="127">
        <v>77</v>
      </c>
      <c r="C30" s="128">
        <v>1.63</v>
      </c>
      <c r="D30" s="128">
        <v>1.31</v>
      </c>
      <c r="E30" s="129">
        <v>1.0837000000000001</v>
      </c>
      <c r="F30" s="129">
        <v>0.40989999999999999</v>
      </c>
      <c r="G30" s="129">
        <v>0.29070000000000001</v>
      </c>
      <c r="H30" s="129">
        <v>0.11459999999999999</v>
      </c>
      <c r="I30" s="129">
        <v>9.4500000000000001E-2</v>
      </c>
      <c r="J30" s="129">
        <v>0.15379999999999999</v>
      </c>
      <c r="K30" s="129">
        <v>0.1772</v>
      </c>
      <c r="L30" s="129">
        <v>0.1217</v>
      </c>
      <c r="M30" s="129">
        <v>0.1012</v>
      </c>
      <c r="N30" s="129">
        <v>0.79379999999999995</v>
      </c>
      <c r="O30" s="129">
        <v>1.72E-2</v>
      </c>
      <c r="P30" s="129">
        <v>0.25840000000000002</v>
      </c>
      <c r="Q30" s="129">
        <v>-9.2999999999999999E-2</v>
      </c>
      <c r="R30" s="128">
        <v>0.78</v>
      </c>
      <c r="S30" s="128">
        <v>1.89</v>
      </c>
    </row>
    <row r="31" spans="1:19">
      <c r="A31" s="117" t="s">
        <v>349</v>
      </c>
      <c r="B31" s="127">
        <v>40</v>
      </c>
      <c r="C31" s="128">
        <v>1.23</v>
      </c>
      <c r="D31" s="128">
        <v>1.48</v>
      </c>
      <c r="E31" s="129">
        <v>0.76910000000000001</v>
      </c>
      <c r="F31" s="129">
        <v>9.7600000000000006E-2</v>
      </c>
      <c r="G31" s="129">
        <v>8.8900000000000007E-2</v>
      </c>
      <c r="H31" s="129">
        <v>0.15079999999999999</v>
      </c>
      <c r="I31" s="129">
        <v>0.1169</v>
      </c>
      <c r="J31" s="129">
        <v>0.1159</v>
      </c>
      <c r="K31" s="129">
        <v>0.1048</v>
      </c>
      <c r="L31" s="129">
        <v>9.0399999999999994E-2</v>
      </c>
      <c r="M31" s="129">
        <v>9.6199999999999994E-2</v>
      </c>
      <c r="N31" s="129">
        <v>0.78890000000000005</v>
      </c>
      <c r="O31" s="129">
        <v>-0.17910000000000001</v>
      </c>
      <c r="P31" s="129">
        <v>0.1157</v>
      </c>
      <c r="Q31" s="129">
        <v>-0.25030000000000002</v>
      </c>
      <c r="R31" s="128">
        <v>1.29</v>
      </c>
      <c r="S31" s="128">
        <v>1.87</v>
      </c>
    </row>
    <row r="32" spans="1:19">
      <c r="A32" s="117" t="s">
        <v>219</v>
      </c>
      <c r="B32" s="127">
        <v>82</v>
      </c>
      <c r="C32" s="128">
        <v>0.81</v>
      </c>
      <c r="D32" s="128">
        <v>0.6</v>
      </c>
      <c r="E32" s="129">
        <v>0.9214</v>
      </c>
      <c r="F32" s="129">
        <v>0.437</v>
      </c>
      <c r="G32" s="129">
        <v>0.30409999999999998</v>
      </c>
      <c r="H32" s="129">
        <v>0.11</v>
      </c>
      <c r="I32" s="129">
        <v>7.5600000000000001E-2</v>
      </c>
      <c r="J32" s="129">
        <v>0.1171</v>
      </c>
      <c r="K32" s="129">
        <v>0.1522</v>
      </c>
      <c r="L32" s="129">
        <v>9.4799999999999995E-2</v>
      </c>
      <c r="M32" s="129">
        <v>7.5300000000000006E-2</v>
      </c>
      <c r="N32" s="129">
        <v>0.96460000000000001</v>
      </c>
      <c r="O32" s="129">
        <v>4.7999999999999996E-3</v>
      </c>
      <c r="P32" s="129">
        <v>0.46729999999999999</v>
      </c>
      <c r="Q32" s="129">
        <v>-2.5999999999999999E-3</v>
      </c>
      <c r="R32" s="128">
        <v>0.8</v>
      </c>
      <c r="S32" s="128">
        <v>2.0699999999999998</v>
      </c>
    </row>
    <row r="33" spans="1:19">
      <c r="A33" s="117" t="s">
        <v>350</v>
      </c>
      <c r="B33" s="127">
        <v>225</v>
      </c>
      <c r="C33" s="128">
        <v>1.31</v>
      </c>
      <c r="D33" s="128">
        <v>0.5</v>
      </c>
      <c r="E33" s="129">
        <v>0.82269999999999999</v>
      </c>
      <c r="F33" s="129">
        <v>2.5148999999999999</v>
      </c>
      <c r="G33" s="129">
        <v>0.71550000000000002</v>
      </c>
      <c r="H33" s="129">
        <v>-3.0308999999999999</v>
      </c>
      <c r="I33" s="129">
        <v>5.9499999999999997E-2</v>
      </c>
      <c r="J33" s="129">
        <v>0.1918</v>
      </c>
      <c r="K33" s="129">
        <v>0.43490000000000001</v>
      </c>
      <c r="L33" s="129">
        <v>0.33839999999999998</v>
      </c>
      <c r="M33" s="129">
        <v>5.0799999999999998E-2</v>
      </c>
      <c r="N33" s="129">
        <v>3.1233</v>
      </c>
      <c r="O33" s="129">
        <v>0.1108</v>
      </c>
      <c r="P33" s="129" t="s">
        <v>341</v>
      </c>
      <c r="Q33" s="129">
        <v>0.1338</v>
      </c>
      <c r="R33" s="128">
        <v>0.18</v>
      </c>
      <c r="S33" s="128">
        <v>6.67</v>
      </c>
    </row>
    <row r="34" spans="1:19">
      <c r="A34" s="117" t="s">
        <v>221</v>
      </c>
      <c r="B34" s="127">
        <v>112</v>
      </c>
      <c r="C34" s="128">
        <v>0.91</v>
      </c>
      <c r="D34" s="128">
        <v>0.77</v>
      </c>
      <c r="E34" s="129">
        <v>0.60680000000000001</v>
      </c>
      <c r="F34" s="129">
        <v>0.29530000000000001</v>
      </c>
      <c r="G34" s="129">
        <v>0.22800000000000001</v>
      </c>
      <c r="H34" s="129">
        <v>0.17849999999999999</v>
      </c>
      <c r="I34" s="129">
        <v>0.1188</v>
      </c>
      <c r="J34" s="129">
        <v>0.2</v>
      </c>
      <c r="K34" s="129">
        <v>9.0800000000000006E-2</v>
      </c>
      <c r="L34" s="129">
        <v>6.5199999999999994E-2</v>
      </c>
      <c r="M34" s="129">
        <v>5.3600000000000002E-2</v>
      </c>
      <c r="N34" s="129">
        <v>1.3976999999999999</v>
      </c>
      <c r="O34" s="129">
        <v>8.0100000000000005E-2</v>
      </c>
      <c r="P34" s="129">
        <v>0.45250000000000001</v>
      </c>
      <c r="Q34" s="129">
        <v>0.25879999999999997</v>
      </c>
      <c r="R34" s="128">
        <v>1.82</v>
      </c>
      <c r="S34" s="128">
        <v>1.08</v>
      </c>
    </row>
    <row r="35" spans="1:19">
      <c r="A35" s="117" t="s">
        <v>351</v>
      </c>
      <c r="B35" s="127">
        <v>9</v>
      </c>
      <c r="C35" s="128">
        <v>1.0900000000000001</v>
      </c>
      <c r="D35" s="128">
        <v>1.24</v>
      </c>
      <c r="E35" s="129">
        <v>0.35399999999999998</v>
      </c>
      <c r="F35" s="129">
        <v>0.4209</v>
      </c>
      <c r="G35" s="129">
        <v>0.29620000000000002</v>
      </c>
      <c r="H35" s="129">
        <v>6.25E-2</v>
      </c>
      <c r="I35" s="129">
        <v>7.8299999999999995E-2</v>
      </c>
      <c r="J35" s="129">
        <v>0.35120000000000001</v>
      </c>
      <c r="K35" s="129">
        <v>5.2699999999999997E-2</v>
      </c>
      <c r="L35" s="129">
        <v>3.2300000000000002E-2</v>
      </c>
      <c r="M35" s="129">
        <v>1.83E-2</v>
      </c>
      <c r="N35" s="129">
        <v>0.73660000000000003</v>
      </c>
      <c r="O35" s="129">
        <v>1.47E-2</v>
      </c>
      <c r="P35" s="129">
        <v>0.51370000000000005</v>
      </c>
      <c r="Q35" s="129">
        <v>-0.39150000000000001</v>
      </c>
      <c r="R35" s="128">
        <v>2.4300000000000002</v>
      </c>
      <c r="S35" s="128">
        <v>0.37</v>
      </c>
    </row>
    <row r="36" spans="1:19">
      <c r="A36" s="117" t="s">
        <v>352</v>
      </c>
      <c r="B36" s="127">
        <v>6</v>
      </c>
      <c r="C36" s="128">
        <v>1.1399999999999999</v>
      </c>
      <c r="D36" s="128">
        <v>0.85</v>
      </c>
      <c r="E36" s="129">
        <v>0.39350000000000002</v>
      </c>
      <c r="F36" s="129">
        <v>0.56599999999999995</v>
      </c>
      <c r="G36" s="129">
        <v>0.3614</v>
      </c>
      <c r="H36" s="129">
        <v>0.1234</v>
      </c>
      <c r="I36" s="129">
        <v>7.8100000000000003E-2</v>
      </c>
      <c r="J36" s="129">
        <v>0.30840000000000001</v>
      </c>
      <c r="K36" s="129">
        <v>0.15640000000000001</v>
      </c>
      <c r="L36" s="129">
        <v>9.8199999999999996E-2</v>
      </c>
      <c r="M36" s="129">
        <v>7.4800000000000005E-2</v>
      </c>
      <c r="N36" s="129">
        <v>0.7863</v>
      </c>
      <c r="O36" s="129">
        <v>3.7600000000000001E-2</v>
      </c>
      <c r="P36" s="129">
        <v>0.49809999999999999</v>
      </c>
      <c r="Q36" s="129">
        <v>-3.5099999999999999E-2</v>
      </c>
      <c r="R36" s="128">
        <v>0.79</v>
      </c>
      <c r="S36" s="128">
        <v>1.86</v>
      </c>
    </row>
    <row r="37" spans="1:19">
      <c r="A37" s="117" t="s">
        <v>353</v>
      </c>
      <c r="B37" s="127">
        <v>35</v>
      </c>
      <c r="C37" s="128">
        <v>1.81</v>
      </c>
      <c r="D37" s="128">
        <v>1.65</v>
      </c>
      <c r="E37" s="129">
        <v>0.80900000000000005</v>
      </c>
      <c r="F37" s="129">
        <v>0.24390000000000001</v>
      </c>
      <c r="G37" s="129">
        <v>0.1961</v>
      </c>
      <c r="H37" s="129">
        <v>0.1166</v>
      </c>
      <c r="I37" s="129">
        <v>9.5000000000000001E-2</v>
      </c>
      <c r="J37" s="129">
        <v>0.20430000000000001</v>
      </c>
      <c r="K37" s="129">
        <v>6.4299999999999996E-2</v>
      </c>
      <c r="L37" s="129">
        <v>4.58E-2</v>
      </c>
      <c r="M37" s="129">
        <v>3.7600000000000001E-2</v>
      </c>
      <c r="N37" s="129">
        <v>0.65820000000000001</v>
      </c>
      <c r="O37" s="129">
        <v>0.13450000000000001</v>
      </c>
      <c r="P37" s="129">
        <v>0.27829999999999999</v>
      </c>
      <c r="Q37" s="129">
        <v>-0.12429999999999999</v>
      </c>
      <c r="R37" s="128">
        <v>2.08</v>
      </c>
      <c r="S37" s="128">
        <v>0.92</v>
      </c>
    </row>
    <row r="38" spans="1:19">
      <c r="A38" s="117" t="s">
        <v>354</v>
      </c>
      <c r="B38" s="127">
        <v>25</v>
      </c>
      <c r="C38" s="128">
        <v>1.17</v>
      </c>
      <c r="D38" s="128">
        <v>1.2</v>
      </c>
      <c r="E38" s="129">
        <v>0.65790000000000004</v>
      </c>
      <c r="F38" s="129">
        <v>6.3500000000000001E-2</v>
      </c>
      <c r="G38" s="129">
        <v>5.9700000000000003E-2</v>
      </c>
      <c r="H38" s="129">
        <v>0.11</v>
      </c>
      <c r="I38" s="129">
        <v>9.4500000000000001E-2</v>
      </c>
      <c r="J38" s="129">
        <v>0.22189999999999999</v>
      </c>
      <c r="K38" s="129">
        <v>0.1211</v>
      </c>
      <c r="L38" s="129">
        <v>7.6399999999999996E-2</v>
      </c>
      <c r="M38" s="129">
        <v>8.8099999999999998E-2</v>
      </c>
      <c r="N38" s="129">
        <v>0.58330000000000004</v>
      </c>
      <c r="O38" s="129">
        <v>0.02</v>
      </c>
      <c r="P38" s="129">
        <v>0.1222</v>
      </c>
      <c r="Q38" s="129">
        <v>-0.40139999999999998</v>
      </c>
      <c r="R38" s="128">
        <v>1.24</v>
      </c>
      <c r="S38" s="128">
        <v>3.82</v>
      </c>
    </row>
    <row r="39" spans="1:19">
      <c r="A39" s="117" t="s">
        <v>355</v>
      </c>
      <c r="B39" s="127">
        <v>21</v>
      </c>
      <c r="C39" s="128">
        <v>1.8</v>
      </c>
      <c r="D39" s="128">
        <v>1.48</v>
      </c>
      <c r="E39" s="129">
        <v>0.69920000000000004</v>
      </c>
      <c r="F39" s="129">
        <v>0.43659999999999999</v>
      </c>
      <c r="G39" s="129">
        <v>0.3039</v>
      </c>
      <c r="H39" s="129">
        <v>0.3024</v>
      </c>
      <c r="I39" s="129">
        <v>0.10879999999999999</v>
      </c>
      <c r="J39" s="129">
        <v>0.20619999999999999</v>
      </c>
      <c r="K39" s="129">
        <v>9.1300000000000006E-2</v>
      </c>
      <c r="L39" s="129">
        <v>6.6400000000000001E-2</v>
      </c>
      <c r="M39" s="129">
        <v>8.48E-2</v>
      </c>
      <c r="N39" s="129">
        <v>0.99809999999999999</v>
      </c>
      <c r="O39" s="129">
        <v>0.24349999999999999</v>
      </c>
      <c r="P39" s="129">
        <v>0.3422</v>
      </c>
      <c r="Q39" s="129">
        <v>0.94669999999999999</v>
      </c>
      <c r="R39" s="128">
        <v>1.64</v>
      </c>
      <c r="S39" s="128">
        <v>1.34</v>
      </c>
    </row>
    <row r="40" spans="1:19">
      <c r="A40" s="117" t="s">
        <v>230</v>
      </c>
      <c r="B40" s="127">
        <v>23</v>
      </c>
      <c r="C40" s="128">
        <v>1.45</v>
      </c>
      <c r="D40" s="128">
        <v>1.02</v>
      </c>
      <c r="E40" s="129">
        <v>0.7</v>
      </c>
      <c r="F40" s="129">
        <v>1.0027999999999999</v>
      </c>
      <c r="G40" s="129">
        <v>0.50070000000000003</v>
      </c>
      <c r="H40" s="129">
        <v>-0.35820000000000002</v>
      </c>
      <c r="I40" s="129">
        <v>-2.0899999999999998E-2</v>
      </c>
      <c r="J40" s="129">
        <v>5.1200000000000002E-2</v>
      </c>
      <c r="K40" s="129">
        <v>-1.5599999999999999E-2</v>
      </c>
      <c r="L40" s="129">
        <v>-2.0899999999999998E-2</v>
      </c>
      <c r="M40" s="129">
        <v>-5.6399999999999999E-2</v>
      </c>
      <c r="N40" s="129">
        <v>0.59799999999999998</v>
      </c>
      <c r="O40" s="129">
        <v>0.76529999999999998</v>
      </c>
      <c r="P40" s="129" t="s">
        <v>341</v>
      </c>
      <c r="Q40" s="129" t="s">
        <v>341</v>
      </c>
      <c r="R40" s="128">
        <v>1</v>
      </c>
      <c r="S40" s="128">
        <v>1.23</v>
      </c>
    </row>
    <row r="41" spans="1:19">
      <c r="A41" s="117" t="s">
        <v>231</v>
      </c>
      <c r="B41" s="127">
        <v>51</v>
      </c>
      <c r="C41" s="128">
        <v>1.74</v>
      </c>
      <c r="D41" s="128">
        <v>1.28</v>
      </c>
      <c r="E41" s="129">
        <v>0.79090000000000005</v>
      </c>
      <c r="F41" s="129">
        <v>0.52070000000000005</v>
      </c>
      <c r="G41" s="129">
        <v>0.34239999999999998</v>
      </c>
      <c r="H41" s="129">
        <v>5.6399999999999999E-2</v>
      </c>
      <c r="I41" s="129">
        <v>6.9500000000000006E-2</v>
      </c>
      <c r="J41" s="129">
        <v>0.14530000000000001</v>
      </c>
      <c r="K41" s="129">
        <v>0.12609999999999999</v>
      </c>
      <c r="L41" s="129">
        <v>0.1013</v>
      </c>
      <c r="M41" s="129">
        <v>6.2899999999999998E-2</v>
      </c>
      <c r="N41" s="129">
        <v>1.0945</v>
      </c>
      <c r="O41" s="129">
        <v>-2.12E-2</v>
      </c>
      <c r="P41" s="129">
        <v>0.4037</v>
      </c>
      <c r="Q41" s="129">
        <v>-7.9000000000000008E-3</v>
      </c>
      <c r="R41" s="128">
        <v>0.69</v>
      </c>
      <c r="S41" s="128">
        <v>2.58</v>
      </c>
    </row>
    <row r="42" spans="1:19">
      <c r="A42" s="117" t="s">
        <v>232</v>
      </c>
      <c r="B42" s="127">
        <v>26</v>
      </c>
      <c r="C42" s="128">
        <v>1.07</v>
      </c>
      <c r="D42" s="128">
        <v>0.95</v>
      </c>
      <c r="E42" s="129">
        <v>0.62239999999999995</v>
      </c>
      <c r="F42" s="129">
        <v>0.18990000000000001</v>
      </c>
      <c r="G42" s="129">
        <v>0.15959999999999999</v>
      </c>
      <c r="H42" s="129">
        <v>0.218</v>
      </c>
      <c r="I42" s="129">
        <v>0.1452</v>
      </c>
      <c r="J42" s="129">
        <v>0.25119999999999998</v>
      </c>
      <c r="K42" s="129">
        <v>0.17380000000000001</v>
      </c>
      <c r="L42" s="129">
        <v>0.12790000000000001</v>
      </c>
      <c r="M42" s="129">
        <v>0.1166</v>
      </c>
      <c r="N42" s="129">
        <v>1.1715</v>
      </c>
      <c r="O42" s="129">
        <v>4.7E-2</v>
      </c>
      <c r="P42" s="129">
        <v>0.48970000000000002</v>
      </c>
      <c r="Q42" s="129">
        <v>5.9700000000000003E-2</v>
      </c>
      <c r="R42" s="128">
        <v>1.1299999999999999</v>
      </c>
      <c r="S42" s="128">
        <v>2.21</v>
      </c>
    </row>
    <row r="43" spans="1:19">
      <c r="A43" s="117" t="s">
        <v>356</v>
      </c>
      <c r="B43" s="127">
        <v>23</v>
      </c>
      <c r="C43" s="128">
        <v>1.24</v>
      </c>
      <c r="D43" s="128">
        <v>1.4</v>
      </c>
      <c r="E43" s="129">
        <v>0.78269999999999995</v>
      </c>
      <c r="F43" s="129">
        <v>0.1031</v>
      </c>
      <c r="G43" s="129">
        <v>9.35E-2</v>
      </c>
      <c r="H43" s="129">
        <v>7.2499999999999995E-2</v>
      </c>
      <c r="I43" s="129">
        <v>7.6700000000000004E-2</v>
      </c>
      <c r="J43" s="129">
        <v>0.2535</v>
      </c>
      <c r="K43" s="129">
        <v>1.9099999999999999E-2</v>
      </c>
      <c r="L43" s="129">
        <v>1.18E-2</v>
      </c>
      <c r="M43" s="129">
        <v>1.66E-2</v>
      </c>
      <c r="N43" s="129">
        <v>0.69599999999999995</v>
      </c>
      <c r="O43" s="129">
        <v>4.8099999999999997E-2</v>
      </c>
      <c r="P43" s="129">
        <v>0.50590000000000002</v>
      </c>
      <c r="Q43" s="129">
        <v>0.27529999999999999</v>
      </c>
      <c r="R43" s="128">
        <v>6.48</v>
      </c>
      <c r="S43" s="128">
        <v>0.28999999999999998</v>
      </c>
    </row>
    <row r="44" spans="1:19">
      <c r="A44" s="117" t="s">
        <v>233</v>
      </c>
      <c r="B44" s="127">
        <v>137</v>
      </c>
      <c r="C44" s="128">
        <v>0.93</v>
      </c>
      <c r="D44" s="128">
        <v>0.81</v>
      </c>
      <c r="E44" s="129">
        <v>0.74429999999999996</v>
      </c>
      <c r="F44" s="129">
        <v>0.3271</v>
      </c>
      <c r="G44" s="129">
        <v>0.2465</v>
      </c>
      <c r="H44" s="129">
        <v>0.1376</v>
      </c>
      <c r="I44" s="129">
        <v>-0.53500000000000003</v>
      </c>
      <c r="J44" s="129">
        <v>0.1903</v>
      </c>
      <c r="K44" s="129">
        <v>-0.214</v>
      </c>
      <c r="L44" s="129">
        <v>-0.23669999999999999</v>
      </c>
      <c r="M44" s="129">
        <v>3.2599999999999997E-2</v>
      </c>
      <c r="N44" s="129">
        <v>1.2745</v>
      </c>
      <c r="O44" s="129">
        <v>0.10249999999999999</v>
      </c>
      <c r="P44" s="129">
        <v>0.24979999999999999</v>
      </c>
      <c r="Q44" s="129" t="s">
        <v>341</v>
      </c>
      <c r="R44" s="128">
        <v>2.2599999999999998</v>
      </c>
      <c r="S44" s="128">
        <v>0.85</v>
      </c>
    </row>
    <row r="45" spans="1:19">
      <c r="A45" s="117" t="s">
        <v>357</v>
      </c>
      <c r="B45" s="127">
        <v>27</v>
      </c>
      <c r="C45" s="128">
        <v>1.07</v>
      </c>
      <c r="D45" s="128">
        <v>0.89</v>
      </c>
      <c r="E45" s="129">
        <v>0.48099999999999998</v>
      </c>
      <c r="F45" s="129">
        <v>0.30209999999999998</v>
      </c>
      <c r="G45" s="129">
        <v>0.23200000000000001</v>
      </c>
      <c r="H45" s="129">
        <v>0.156</v>
      </c>
      <c r="I45" s="129">
        <v>0.10829999999999999</v>
      </c>
      <c r="J45" s="129">
        <v>0.1893</v>
      </c>
      <c r="K45" s="129">
        <v>0.1933</v>
      </c>
      <c r="L45" s="129">
        <v>0.15060000000000001</v>
      </c>
      <c r="M45" s="129">
        <v>0.11940000000000001</v>
      </c>
      <c r="N45" s="129">
        <v>0.64400000000000002</v>
      </c>
      <c r="O45" s="129">
        <v>-1.61E-2</v>
      </c>
      <c r="P45" s="129">
        <v>0.38729999999999998</v>
      </c>
      <c r="Q45" s="129">
        <v>-0.2397</v>
      </c>
      <c r="R45" s="128">
        <v>0.72</v>
      </c>
      <c r="S45" s="128">
        <v>2.94</v>
      </c>
    </row>
    <row r="46" spans="1:19">
      <c r="A46" s="117" t="s">
        <v>235</v>
      </c>
      <c r="B46" s="127">
        <v>30</v>
      </c>
      <c r="C46" s="128">
        <v>1.58</v>
      </c>
      <c r="D46" s="128">
        <v>1.54</v>
      </c>
      <c r="E46" s="129">
        <v>0.53349999999999997</v>
      </c>
      <c r="F46" s="129">
        <v>0.64139999999999997</v>
      </c>
      <c r="G46" s="129">
        <v>0.39079999999999998</v>
      </c>
      <c r="H46" s="129">
        <v>0.1045</v>
      </c>
      <c r="I46" s="129" t="s">
        <v>341</v>
      </c>
      <c r="J46" s="129">
        <v>0.28039999999999998</v>
      </c>
      <c r="K46" s="129" t="s">
        <v>341</v>
      </c>
      <c r="L46" s="129" t="s">
        <v>341</v>
      </c>
      <c r="M46" s="129" t="s">
        <v>341</v>
      </c>
      <c r="N46" s="129" t="s">
        <v>341</v>
      </c>
      <c r="O46" s="129" t="s">
        <v>341</v>
      </c>
      <c r="P46" s="129">
        <v>0.29389999999999999</v>
      </c>
      <c r="Q46" s="129">
        <v>2.3999999999999998E-3</v>
      </c>
      <c r="R46" s="128" t="s">
        <v>341</v>
      </c>
      <c r="S46" s="128" t="s">
        <v>341</v>
      </c>
    </row>
    <row r="47" spans="1:19">
      <c r="A47" s="117" t="s">
        <v>358</v>
      </c>
      <c r="B47" s="127">
        <v>49</v>
      </c>
      <c r="C47" s="128">
        <v>0.91</v>
      </c>
      <c r="D47" s="128">
        <v>1.01</v>
      </c>
      <c r="E47" s="129">
        <v>0.37880000000000003</v>
      </c>
      <c r="F47" s="129">
        <v>0.23599999999999999</v>
      </c>
      <c r="G47" s="129">
        <v>0.191</v>
      </c>
      <c r="H47" s="129">
        <v>0.13320000000000001</v>
      </c>
      <c r="I47" s="129" t="s">
        <v>341</v>
      </c>
      <c r="J47" s="129">
        <v>0.19359999999999999</v>
      </c>
      <c r="K47" s="129" t="s">
        <v>341</v>
      </c>
      <c r="L47" s="129" t="s">
        <v>341</v>
      </c>
      <c r="M47" s="129" t="s">
        <v>341</v>
      </c>
      <c r="N47" s="129">
        <v>98.123500000000007</v>
      </c>
      <c r="O47" s="129" t="s">
        <v>341</v>
      </c>
      <c r="P47" s="129">
        <v>0.2346</v>
      </c>
      <c r="Q47" s="129">
        <v>0.57730000000000004</v>
      </c>
      <c r="R47" s="128" t="s">
        <v>341</v>
      </c>
      <c r="S47" s="128" t="s">
        <v>341</v>
      </c>
    </row>
    <row r="48" spans="1:19">
      <c r="A48" s="117" t="s">
        <v>237</v>
      </c>
      <c r="B48" s="127">
        <v>186</v>
      </c>
      <c r="C48" s="128">
        <v>1.0900000000000001</v>
      </c>
      <c r="D48" s="128">
        <v>1.24</v>
      </c>
      <c r="E48" s="129">
        <v>1.1709000000000001</v>
      </c>
      <c r="F48" s="129">
        <v>2.7099999999999999E-2</v>
      </c>
      <c r="G48" s="129">
        <v>2.63E-2</v>
      </c>
      <c r="H48" s="129">
        <v>0.39729999999999999</v>
      </c>
      <c r="I48" s="129">
        <v>0.32750000000000001</v>
      </c>
      <c r="J48" s="129">
        <v>6.8699999999999997E-2</v>
      </c>
      <c r="K48" s="129">
        <v>0.1825</v>
      </c>
      <c r="L48" s="129">
        <v>0.14580000000000001</v>
      </c>
      <c r="M48" s="129">
        <v>0.16</v>
      </c>
      <c r="N48" s="129">
        <v>1.5437000000000001</v>
      </c>
      <c r="O48" s="129">
        <v>-8.4400000000000003E-2</v>
      </c>
      <c r="P48" s="129">
        <v>6.6E-3</v>
      </c>
      <c r="Q48" s="129">
        <v>4.82E-2</v>
      </c>
      <c r="R48" s="128">
        <v>2.25</v>
      </c>
      <c r="S48" s="128">
        <v>3.91</v>
      </c>
    </row>
    <row r="49" spans="1:19">
      <c r="A49" s="117" t="s">
        <v>359</v>
      </c>
      <c r="B49" s="127">
        <v>60</v>
      </c>
      <c r="C49" s="128">
        <v>1.06</v>
      </c>
      <c r="D49" s="128">
        <v>1.1399999999999999</v>
      </c>
      <c r="E49" s="129">
        <v>0.69450000000000001</v>
      </c>
      <c r="F49" s="129">
        <v>6.0900000000000003E-2</v>
      </c>
      <c r="G49" s="129">
        <v>5.74E-2</v>
      </c>
      <c r="H49" s="129">
        <v>0.36109999999999998</v>
      </c>
      <c r="I49" s="129">
        <v>0.26950000000000002</v>
      </c>
      <c r="J49" s="129">
        <v>0.1915</v>
      </c>
      <c r="K49" s="129">
        <v>0.14430000000000001</v>
      </c>
      <c r="L49" s="129">
        <v>0.1032</v>
      </c>
      <c r="M49" s="129">
        <v>0.10589999999999999</v>
      </c>
      <c r="N49" s="129">
        <v>0.76100000000000001</v>
      </c>
      <c r="O49" s="129">
        <v>2.8799999999999999E-2</v>
      </c>
      <c r="P49" s="129">
        <v>0.32869999999999999</v>
      </c>
      <c r="Q49" s="129">
        <v>-4.7300000000000002E-2</v>
      </c>
      <c r="R49" s="128">
        <v>2.61</v>
      </c>
      <c r="S49" s="128">
        <v>1.75</v>
      </c>
    </row>
    <row r="50" spans="1:19">
      <c r="A50" s="117" t="s">
        <v>241</v>
      </c>
      <c r="B50" s="127">
        <v>100</v>
      </c>
      <c r="C50" s="128">
        <v>1.2</v>
      </c>
      <c r="D50" s="128">
        <v>1.1399999999999999</v>
      </c>
      <c r="E50" s="129">
        <v>0.57210000000000005</v>
      </c>
      <c r="F50" s="129">
        <v>0.19120000000000001</v>
      </c>
      <c r="G50" s="129">
        <v>0.1605</v>
      </c>
      <c r="H50" s="129">
        <v>0.1459</v>
      </c>
      <c r="I50" s="129">
        <v>0.126</v>
      </c>
      <c r="J50" s="129">
        <v>0.2215</v>
      </c>
      <c r="K50" s="129">
        <v>0.1105</v>
      </c>
      <c r="L50" s="129">
        <v>8.2199999999999995E-2</v>
      </c>
      <c r="M50" s="129">
        <v>7.2599999999999998E-2</v>
      </c>
      <c r="N50" s="129">
        <v>0.75319999999999998</v>
      </c>
      <c r="O50" s="129">
        <v>0.16270000000000001</v>
      </c>
      <c r="P50" s="129">
        <v>0.25380000000000003</v>
      </c>
      <c r="Q50" s="129">
        <v>8.4400000000000003E-2</v>
      </c>
      <c r="R50" s="128">
        <v>1.53</v>
      </c>
      <c r="S50" s="128">
        <v>1.37</v>
      </c>
    </row>
    <row r="51" spans="1:19">
      <c r="A51" s="117" t="s">
        <v>243</v>
      </c>
      <c r="B51" s="127">
        <v>52</v>
      </c>
      <c r="C51" s="128">
        <v>1.4</v>
      </c>
      <c r="D51" s="128">
        <v>0.57999999999999996</v>
      </c>
      <c r="E51" s="129">
        <v>0.69189999999999996</v>
      </c>
      <c r="F51" s="129">
        <v>1.7038</v>
      </c>
      <c r="G51" s="129">
        <v>0.63009999999999999</v>
      </c>
      <c r="H51" s="129">
        <v>4.8800000000000003E-2</v>
      </c>
      <c r="I51" s="129">
        <v>4.7600000000000003E-2</v>
      </c>
      <c r="J51" s="129">
        <v>5.5500000000000001E-2</v>
      </c>
      <c r="K51" s="129">
        <v>0.14810000000000001</v>
      </c>
      <c r="L51" s="129">
        <v>0.13689999999999999</v>
      </c>
      <c r="M51" s="129">
        <v>7.7999999999999996E-3</v>
      </c>
      <c r="N51" s="129">
        <v>3.1684999999999999</v>
      </c>
      <c r="O51" s="129">
        <v>3.32E-2</v>
      </c>
      <c r="P51" s="129">
        <v>0.2525</v>
      </c>
      <c r="Q51" s="129">
        <v>2.1503999999999999</v>
      </c>
      <c r="R51" s="128">
        <v>0.35</v>
      </c>
      <c r="S51" s="128">
        <v>2.69</v>
      </c>
    </row>
    <row r="52" spans="1:19">
      <c r="A52" s="117" t="s">
        <v>360</v>
      </c>
      <c r="B52" s="127">
        <v>83</v>
      </c>
      <c r="C52" s="128">
        <v>0.85</v>
      </c>
      <c r="D52" s="128">
        <v>0.8</v>
      </c>
      <c r="E52" s="129">
        <v>0.79179999999999995</v>
      </c>
      <c r="F52" s="129">
        <v>0.1608</v>
      </c>
      <c r="G52" s="129">
        <v>0.13850000000000001</v>
      </c>
      <c r="H52" s="129">
        <v>0.2213</v>
      </c>
      <c r="I52" s="129">
        <v>0.1588</v>
      </c>
      <c r="J52" s="129">
        <v>0.1186</v>
      </c>
      <c r="K52" s="129">
        <v>0.22220000000000001</v>
      </c>
      <c r="L52" s="129">
        <v>0.17280000000000001</v>
      </c>
      <c r="M52" s="129">
        <v>0.16639999999999999</v>
      </c>
      <c r="N52" s="129">
        <v>0.8488</v>
      </c>
      <c r="O52" s="129">
        <v>0.22140000000000001</v>
      </c>
      <c r="P52" s="129">
        <v>0.2291</v>
      </c>
      <c r="Q52" s="129">
        <v>1.4999999999999999E-2</v>
      </c>
      <c r="R52" s="128">
        <v>0.92</v>
      </c>
      <c r="S52" s="128">
        <v>2.52</v>
      </c>
    </row>
    <row r="53" spans="1:19">
      <c r="A53" s="117" t="s">
        <v>361</v>
      </c>
      <c r="B53" s="127">
        <v>146</v>
      </c>
      <c r="C53" s="128">
        <v>1.03</v>
      </c>
      <c r="D53" s="128">
        <v>1.07</v>
      </c>
      <c r="E53" s="129">
        <v>0.84889999999999999</v>
      </c>
      <c r="F53" s="129">
        <v>0.13020000000000001</v>
      </c>
      <c r="G53" s="129">
        <v>0.1152</v>
      </c>
      <c r="H53" s="129">
        <v>0.29559999999999997</v>
      </c>
      <c r="I53" s="129">
        <v>0.19239999999999999</v>
      </c>
      <c r="J53" s="129">
        <v>0.1273</v>
      </c>
      <c r="K53" s="129">
        <v>6.4799999999999996E-2</v>
      </c>
      <c r="L53" s="129">
        <v>4.8099999999999997E-2</v>
      </c>
      <c r="M53" s="129">
        <v>4.8899999999999999E-2</v>
      </c>
      <c r="N53" s="129">
        <v>0.78769999999999996</v>
      </c>
      <c r="O53" s="129">
        <v>3.04E-2</v>
      </c>
      <c r="P53" s="129">
        <v>0.37290000000000001</v>
      </c>
      <c r="Q53" s="129">
        <v>-3.2099999999999997E-2</v>
      </c>
      <c r="R53" s="128">
        <v>4</v>
      </c>
      <c r="S53" s="128">
        <v>0.73</v>
      </c>
    </row>
    <row r="54" spans="1:19">
      <c r="A54" s="117" t="s">
        <v>244</v>
      </c>
      <c r="B54" s="127">
        <v>122</v>
      </c>
      <c r="C54" s="128">
        <v>0.91</v>
      </c>
      <c r="D54" s="128">
        <v>0.78</v>
      </c>
      <c r="E54" s="129">
        <v>0.76259999999999994</v>
      </c>
      <c r="F54" s="129">
        <v>0.4945</v>
      </c>
      <c r="G54" s="129">
        <v>0.33090000000000003</v>
      </c>
      <c r="H54" s="129">
        <v>0.3281</v>
      </c>
      <c r="I54" s="129">
        <v>0.1855</v>
      </c>
      <c r="J54" s="129">
        <v>0.1993</v>
      </c>
      <c r="K54" s="129">
        <v>0.1111</v>
      </c>
      <c r="L54" s="129">
        <v>7.3899999999999993E-2</v>
      </c>
      <c r="M54" s="129">
        <v>4.8399999999999999E-2</v>
      </c>
      <c r="N54" s="129">
        <v>0.91900000000000004</v>
      </c>
      <c r="O54" s="129">
        <v>-5.5899999999999998E-2</v>
      </c>
      <c r="P54" s="129">
        <v>8.8200000000000001E-2</v>
      </c>
      <c r="Q54" s="129">
        <v>-0.25530000000000003</v>
      </c>
      <c r="R54" s="128">
        <v>2.5099999999999998</v>
      </c>
      <c r="S54" s="128">
        <v>0.68</v>
      </c>
    </row>
    <row r="55" spans="1:19">
      <c r="A55" s="117" t="s">
        <v>246</v>
      </c>
      <c r="B55" s="127">
        <v>24</v>
      </c>
      <c r="C55" s="128">
        <v>1.59</v>
      </c>
      <c r="D55" s="128">
        <v>1.63</v>
      </c>
      <c r="E55" s="129">
        <v>0.68979999999999997</v>
      </c>
      <c r="F55" s="129">
        <v>0.15490000000000001</v>
      </c>
      <c r="G55" s="129">
        <v>0.1341</v>
      </c>
      <c r="H55" s="129">
        <v>0.18659999999999999</v>
      </c>
      <c r="I55" s="129">
        <v>0.14779999999999999</v>
      </c>
      <c r="J55" s="129">
        <v>0.26550000000000001</v>
      </c>
      <c r="K55" s="129">
        <v>0.1507</v>
      </c>
      <c r="L55" s="129">
        <v>0.1089</v>
      </c>
      <c r="M55" s="129">
        <v>7.8399999999999997E-2</v>
      </c>
      <c r="N55" s="129">
        <v>1.5415000000000001</v>
      </c>
      <c r="O55" s="129">
        <v>0.1802</v>
      </c>
      <c r="P55" s="129">
        <v>0.25700000000000001</v>
      </c>
      <c r="Q55" s="129">
        <v>0.32619999999999999</v>
      </c>
      <c r="R55" s="128">
        <v>1.36</v>
      </c>
      <c r="S55" s="128">
        <v>1.67</v>
      </c>
    </row>
    <row r="56" spans="1:19">
      <c r="A56" s="117" t="s">
        <v>247</v>
      </c>
      <c r="B56" s="127">
        <v>73</v>
      </c>
      <c r="C56" s="128">
        <v>1.33</v>
      </c>
      <c r="D56" s="128">
        <v>1.28</v>
      </c>
      <c r="E56" s="129">
        <v>1.0438000000000001</v>
      </c>
      <c r="F56" s="129">
        <v>0.14099999999999999</v>
      </c>
      <c r="G56" s="129">
        <v>0.1236</v>
      </c>
      <c r="H56" s="129">
        <v>0.24790000000000001</v>
      </c>
      <c r="I56" s="129">
        <v>0.1948</v>
      </c>
      <c r="J56" s="129">
        <v>0.1104</v>
      </c>
      <c r="K56" s="129">
        <v>0.31569999999999998</v>
      </c>
      <c r="L56" s="129">
        <v>0.21879999999999999</v>
      </c>
      <c r="M56" s="129">
        <v>7.3599999999999999E-2</v>
      </c>
      <c r="N56" s="129">
        <v>1.581</v>
      </c>
      <c r="O56" s="129">
        <v>6.2199999999999998E-2</v>
      </c>
      <c r="P56" s="129">
        <v>0.33510000000000001</v>
      </c>
      <c r="Q56" s="129">
        <v>0.2326</v>
      </c>
      <c r="R56" s="128">
        <v>0.89</v>
      </c>
      <c r="S56" s="128">
        <v>2.4700000000000002</v>
      </c>
    </row>
    <row r="57" spans="1:19">
      <c r="A57" s="117" t="s">
        <v>362</v>
      </c>
      <c r="B57" s="127">
        <v>29</v>
      </c>
      <c r="C57" s="128">
        <v>1.33</v>
      </c>
      <c r="D57" s="128">
        <v>1.06</v>
      </c>
      <c r="E57" s="129">
        <v>0.48770000000000002</v>
      </c>
      <c r="F57" s="129">
        <v>0.37069999999999997</v>
      </c>
      <c r="G57" s="129">
        <v>0.27039999999999997</v>
      </c>
      <c r="H57" s="129">
        <v>9.0399999999999994E-2</v>
      </c>
      <c r="I57" s="129">
        <v>7.0999999999999994E-2</v>
      </c>
      <c r="J57" s="129">
        <v>0.2198</v>
      </c>
      <c r="K57" s="129">
        <v>0.28939999999999999</v>
      </c>
      <c r="L57" s="129">
        <v>0.17499999999999999</v>
      </c>
      <c r="M57" s="129">
        <v>0.12720000000000001</v>
      </c>
      <c r="N57" s="129">
        <v>2.9708000000000001</v>
      </c>
      <c r="O57" s="129">
        <v>-4.2599999999999999E-2</v>
      </c>
      <c r="P57" s="129">
        <v>0.33810000000000001</v>
      </c>
      <c r="Q57" s="129">
        <v>2.7648000000000001</v>
      </c>
      <c r="R57" s="128">
        <v>0.41</v>
      </c>
      <c r="S57" s="128">
        <v>3.37</v>
      </c>
    </row>
    <row r="58" spans="1:19">
      <c r="A58" s="117" t="s">
        <v>363</v>
      </c>
      <c r="B58" s="127">
        <v>22</v>
      </c>
      <c r="C58" s="128">
        <v>0.66</v>
      </c>
      <c r="D58" s="128">
        <v>0.46</v>
      </c>
      <c r="E58" s="129">
        <v>0.249</v>
      </c>
      <c r="F58" s="129">
        <v>0.67379999999999995</v>
      </c>
      <c r="G58" s="129">
        <v>0.40260000000000001</v>
      </c>
      <c r="H58" s="129">
        <v>0.10979999999999999</v>
      </c>
      <c r="I58" s="129">
        <v>8.09E-2</v>
      </c>
      <c r="J58" s="129">
        <v>0.30159999999999998</v>
      </c>
      <c r="K58" s="129">
        <v>0.128</v>
      </c>
      <c r="L58" s="129">
        <v>8.5699999999999998E-2</v>
      </c>
      <c r="M58" s="129">
        <v>5.0999999999999997E-2</v>
      </c>
      <c r="N58" s="129">
        <v>1.8403</v>
      </c>
      <c r="O58" s="129">
        <v>5.5300000000000002E-2</v>
      </c>
      <c r="P58" s="129">
        <v>0.67279999999999995</v>
      </c>
      <c r="Q58" s="129">
        <v>0.49959999999999999</v>
      </c>
      <c r="R58" s="128">
        <v>0.94</v>
      </c>
      <c r="S58" s="128">
        <v>1.45</v>
      </c>
    </row>
    <row r="59" spans="1:19">
      <c r="A59" s="117" t="s">
        <v>250</v>
      </c>
      <c r="B59" s="127">
        <v>13</v>
      </c>
      <c r="C59" s="128">
        <v>1.76</v>
      </c>
      <c r="D59" s="128">
        <v>1.42</v>
      </c>
      <c r="E59" s="129">
        <v>0.90739999999999998</v>
      </c>
      <c r="F59" s="129">
        <v>0.46350000000000002</v>
      </c>
      <c r="G59" s="129">
        <v>0.31669999999999998</v>
      </c>
      <c r="H59" s="129">
        <v>0.1673</v>
      </c>
      <c r="I59" s="129">
        <v>0.1105</v>
      </c>
      <c r="J59" s="129">
        <v>0.25130000000000002</v>
      </c>
      <c r="K59" s="129">
        <v>0.1459</v>
      </c>
      <c r="L59" s="129">
        <v>9.0200000000000002E-2</v>
      </c>
      <c r="M59" s="129">
        <v>3.1099999999999999E-2</v>
      </c>
      <c r="N59" s="129">
        <v>0.45600000000000002</v>
      </c>
      <c r="O59" s="129">
        <v>-3.1300000000000001E-2</v>
      </c>
      <c r="P59" s="129">
        <v>0.14560000000000001</v>
      </c>
      <c r="Q59" s="129">
        <v>-0.32300000000000001</v>
      </c>
      <c r="R59" s="128">
        <v>1.23</v>
      </c>
      <c r="S59" s="128">
        <v>1.31</v>
      </c>
    </row>
    <row r="60" spans="1:19">
      <c r="A60" s="117" t="s">
        <v>364</v>
      </c>
      <c r="B60" s="127">
        <v>24</v>
      </c>
      <c r="C60" s="128">
        <v>1.38</v>
      </c>
      <c r="D60" s="128">
        <v>1.04</v>
      </c>
      <c r="E60" s="129">
        <v>0.64259999999999995</v>
      </c>
      <c r="F60" s="129">
        <v>0.63029999999999997</v>
      </c>
      <c r="G60" s="129">
        <v>0.3866</v>
      </c>
      <c r="H60" s="129">
        <v>0.18049999999999999</v>
      </c>
      <c r="I60" s="129">
        <v>0.1036</v>
      </c>
      <c r="J60" s="129">
        <v>0.21049999999999999</v>
      </c>
      <c r="K60" s="129">
        <v>6.6500000000000004E-2</v>
      </c>
      <c r="L60" s="129">
        <v>4.5900000000000003E-2</v>
      </c>
      <c r="M60" s="129">
        <v>4.07E-2</v>
      </c>
      <c r="N60" s="129">
        <v>0.61170000000000002</v>
      </c>
      <c r="O60" s="129">
        <v>6.7799999999999999E-2</v>
      </c>
      <c r="P60" s="129">
        <v>0.28060000000000002</v>
      </c>
      <c r="Q60" s="129">
        <v>-0.2089</v>
      </c>
      <c r="R60" s="128">
        <v>2.2599999999999998</v>
      </c>
      <c r="S60" s="128">
        <v>0.55000000000000004</v>
      </c>
    </row>
    <row r="61" spans="1:19">
      <c r="A61" s="117" t="s">
        <v>365</v>
      </c>
      <c r="B61" s="127">
        <v>13</v>
      </c>
      <c r="C61" s="128">
        <v>0.96</v>
      </c>
      <c r="D61" s="128">
        <v>0.65</v>
      </c>
      <c r="E61" s="129">
        <v>0.56610000000000005</v>
      </c>
      <c r="F61" s="129">
        <v>0.58299999999999996</v>
      </c>
      <c r="G61" s="129">
        <v>0.36830000000000002</v>
      </c>
      <c r="H61" s="129">
        <v>0.1135</v>
      </c>
      <c r="I61" s="129">
        <v>6.83E-2</v>
      </c>
      <c r="J61" s="129">
        <v>0.13700000000000001</v>
      </c>
      <c r="K61" s="129">
        <v>0.1845</v>
      </c>
      <c r="L61" s="129">
        <v>0.14460000000000001</v>
      </c>
      <c r="M61" s="129">
        <v>9.8000000000000004E-2</v>
      </c>
      <c r="N61" s="129">
        <v>2.8022</v>
      </c>
      <c r="O61" s="129">
        <v>-1E-4</v>
      </c>
      <c r="P61" s="129">
        <v>0.73980000000000001</v>
      </c>
      <c r="Q61" s="129">
        <v>1.24</v>
      </c>
      <c r="R61" s="128">
        <v>0.47</v>
      </c>
      <c r="S61" s="128">
        <v>3.56</v>
      </c>
    </row>
    <row r="62" spans="1:19">
      <c r="A62" s="117" t="s">
        <v>366</v>
      </c>
      <c r="B62" s="127">
        <v>93</v>
      </c>
      <c r="C62" s="128">
        <v>1.55</v>
      </c>
      <c r="D62" s="128">
        <v>1.39</v>
      </c>
      <c r="E62" s="129">
        <v>0.62370000000000003</v>
      </c>
      <c r="F62" s="129">
        <v>0.22919999999999999</v>
      </c>
      <c r="G62" s="129">
        <v>0.18640000000000001</v>
      </c>
      <c r="H62" s="129">
        <v>0.1048</v>
      </c>
      <c r="I62" s="129">
        <v>8.5400000000000004E-2</v>
      </c>
      <c r="J62" s="129">
        <v>0.1739</v>
      </c>
      <c r="K62" s="129">
        <v>0.15110000000000001</v>
      </c>
      <c r="L62" s="129">
        <v>0.1128</v>
      </c>
      <c r="M62" s="129">
        <v>0.1072</v>
      </c>
      <c r="N62" s="129">
        <v>1.4321999999999999</v>
      </c>
      <c r="O62" s="129">
        <v>0.16889999999999999</v>
      </c>
      <c r="P62" s="129">
        <v>0.41880000000000001</v>
      </c>
      <c r="Q62" s="129">
        <v>0.70609999999999995</v>
      </c>
      <c r="R62" s="128">
        <v>0.76</v>
      </c>
      <c r="S62" s="128">
        <v>2.38</v>
      </c>
    </row>
    <row r="63" spans="1:19">
      <c r="A63" s="117" t="s">
        <v>253</v>
      </c>
      <c r="B63" s="127">
        <v>26</v>
      </c>
      <c r="C63" s="128">
        <v>1.1599999999999999</v>
      </c>
      <c r="D63" s="128">
        <v>0.88</v>
      </c>
      <c r="E63" s="129">
        <v>0.41589999999999999</v>
      </c>
      <c r="F63" s="129">
        <v>0.51819999999999999</v>
      </c>
      <c r="G63" s="129">
        <v>0.34129999999999999</v>
      </c>
      <c r="H63" s="129">
        <v>0.17519999999999999</v>
      </c>
      <c r="I63" s="129">
        <v>0.104</v>
      </c>
      <c r="J63" s="129">
        <v>0.24229999999999999</v>
      </c>
      <c r="K63" s="129">
        <v>0.1012</v>
      </c>
      <c r="L63" s="129">
        <v>7.0199999999999999E-2</v>
      </c>
      <c r="M63" s="129">
        <v>0.1346</v>
      </c>
      <c r="N63" s="129">
        <v>0.92610000000000003</v>
      </c>
      <c r="O63" s="129">
        <v>9.01E-2</v>
      </c>
      <c r="P63" s="129">
        <v>0.24379999999999999</v>
      </c>
      <c r="Q63" s="129">
        <v>1.0881000000000001</v>
      </c>
      <c r="R63" s="128">
        <v>1.48</v>
      </c>
      <c r="S63" s="128">
        <v>1.06</v>
      </c>
    </row>
    <row r="64" spans="1:19">
      <c r="A64" s="117" t="s">
        <v>367</v>
      </c>
      <c r="B64" s="127">
        <v>32</v>
      </c>
      <c r="C64" s="128">
        <v>1.36</v>
      </c>
      <c r="D64" s="128">
        <v>0.96</v>
      </c>
      <c r="E64" s="129">
        <v>0.93840000000000001</v>
      </c>
      <c r="F64" s="129">
        <v>0.59860000000000002</v>
      </c>
      <c r="G64" s="129">
        <v>0.3745</v>
      </c>
      <c r="H64" s="129">
        <v>8.4000000000000005E-2</v>
      </c>
      <c r="I64" s="129">
        <v>0.1101</v>
      </c>
      <c r="J64" s="129">
        <v>0.1061</v>
      </c>
      <c r="K64" s="129">
        <v>0.1201</v>
      </c>
      <c r="L64" s="129">
        <v>9.8400000000000001E-2</v>
      </c>
      <c r="M64" s="129">
        <v>4.6300000000000001E-2</v>
      </c>
      <c r="N64" s="129">
        <v>0.54630000000000001</v>
      </c>
      <c r="O64" s="129">
        <v>0.1019</v>
      </c>
      <c r="P64" s="129">
        <v>0.43209999999999998</v>
      </c>
      <c r="Q64" s="129">
        <v>-0.26889999999999997</v>
      </c>
      <c r="R64" s="128">
        <v>1.1200000000000001</v>
      </c>
      <c r="S64" s="128">
        <v>1.06</v>
      </c>
    </row>
    <row r="65" spans="1:19">
      <c r="A65" s="117" t="s">
        <v>255</v>
      </c>
      <c r="B65" s="127">
        <v>20</v>
      </c>
      <c r="C65" s="128">
        <v>1.18</v>
      </c>
      <c r="D65" s="128">
        <v>1.1200000000000001</v>
      </c>
      <c r="E65" s="129">
        <v>0.38990000000000002</v>
      </c>
      <c r="F65" s="129">
        <v>0.19189999999999999</v>
      </c>
      <c r="G65" s="129">
        <v>0.161</v>
      </c>
      <c r="H65" s="129">
        <v>0.14760000000000001</v>
      </c>
      <c r="I65" s="129">
        <v>0.1008</v>
      </c>
      <c r="J65" s="129">
        <v>0.27410000000000001</v>
      </c>
      <c r="K65" s="129">
        <v>9.7600000000000006E-2</v>
      </c>
      <c r="L65" s="129">
        <v>5.6500000000000002E-2</v>
      </c>
      <c r="M65" s="129">
        <v>7.9899999999999999E-2</v>
      </c>
      <c r="N65" s="129">
        <v>1.9287000000000001</v>
      </c>
      <c r="O65" s="129">
        <v>1.9800000000000002E-2</v>
      </c>
      <c r="P65" s="129">
        <v>0.38990000000000002</v>
      </c>
      <c r="Q65" s="129">
        <v>0.87670000000000003</v>
      </c>
      <c r="R65" s="128">
        <v>1.78</v>
      </c>
      <c r="S65" s="128">
        <v>0.87</v>
      </c>
    </row>
    <row r="66" spans="1:19">
      <c r="A66" s="117" t="s">
        <v>256</v>
      </c>
      <c r="B66" s="127">
        <v>176</v>
      </c>
      <c r="C66" s="128">
        <v>1.34</v>
      </c>
      <c r="D66" s="128">
        <v>1.1299999999999999</v>
      </c>
      <c r="E66" s="129">
        <v>0.88109999999999999</v>
      </c>
      <c r="F66" s="129">
        <v>0.24879999999999999</v>
      </c>
      <c r="G66" s="129">
        <v>0.19919999999999999</v>
      </c>
      <c r="H66" s="129">
        <v>9.4600000000000004E-2</v>
      </c>
      <c r="I66" s="129">
        <v>0.13500000000000001</v>
      </c>
      <c r="J66" s="129">
        <v>0.1114</v>
      </c>
      <c r="K66" s="129">
        <v>0.25740000000000002</v>
      </c>
      <c r="L66" s="129">
        <v>0.191</v>
      </c>
      <c r="M66" s="129">
        <v>0.1069</v>
      </c>
      <c r="N66" s="129">
        <v>1.9231</v>
      </c>
      <c r="O66" s="129">
        <v>2.2800000000000001E-2</v>
      </c>
      <c r="P66" s="129">
        <v>9.5000000000000001E-2</v>
      </c>
      <c r="Q66" s="129">
        <v>0.64090000000000003</v>
      </c>
      <c r="R66" s="128">
        <v>0.71</v>
      </c>
      <c r="S66" s="128">
        <v>2.2000000000000002</v>
      </c>
    </row>
    <row r="67" spans="1:19">
      <c r="A67" s="117" t="s">
        <v>368</v>
      </c>
      <c r="B67" s="127">
        <v>19</v>
      </c>
      <c r="C67" s="128">
        <v>1.1200000000000001</v>
      </c>
      <c r="D67" s="128">
        <v>1</v>
      </c>
      <c r="E67" s="129">
        <v>0.59430000000000005</v>
      </c>
      <c r="F67" s="129">
        <v>0.20480000000000001</v>
      </c>
      <c r="G67" s="129">
        <v>0.17</v>
      </c>
      <c r="H67" s="129">
        <v>0.1482</v>
      </c>
      <c r="I67" s="129">
        <v>0.1118</v>
      </c>
      <c r="J67" s="129">
        <v>0.2467</v>
      </c>
      <c r="K67" s="129">
        <v>5.11E-2</v>
      </c>
      <c r="L67" s="129">
        <v>3.1399999999999997E-2</v>
      </c>
      <c r="M67" s="129">
        <v>2.9100000000000001E-2</v>
      </c>
      <c r="N67" s="129">
        <v>0.99519999999999997</v>
      </c>
      <c r="O67" s="129">
        <v>3.6799999999999999E-2</v>
      </c>
      <c r="P67" s="129">
        <v>0.2026</v>
      </c>
      <c r="Q67" s="129">
        <v>5.5500000000000001E-2</v>
      </c>
      <c r="R67" s="128">
        <v>3.56</v>
      </c>
      <c r="S67" s="128">
        <v>0.53</v>
      </c>
    </row>
    <row r="68" spans="1:19">
      <c r="A68" s="117" t="s">
        <v>369</v>
      </c>
      <c r="B68" s="127">
        <v>27</v>
      </c>
      <c r="C68" s="128">
        <v>0.98</v>
      </c>
      <c r="D68" s="128">
        <v>0.72</v>
      </c>
      <c r="E68" s="129">
        <v>0.34899999999999998</v>
      </c>
      <c r="F68" s="129">
        <v>0.40970000000000001</v>
      </c>
      <c r="G68" s="129">
        <v>0.29060000000000002</v>
      </c>
      <c r="H68" s="129">
        <v>0.12709999999999999</v>
      </c>
      <c r="I68" s="129">
        <v>8.5999999999999993E-2</v>
      </c>
      <c r="J68" s="129">
        <v>6.3700000000000007E-2</v>
      </c>
      <c r="K68" s="129">
        <v>8.9499999999999996E-2</v>
      </c>
      <c r="L68" s="129">
        <v>8.6800000000000002E-2</v>
      </c>
      <c r="M68" s="129">
        <v>7.1099999999999997E-2</v>
      </c>
      <c r="N68" s="129">
        <v>1.8461000000000001</v>
      </c>
      <c r="O68" s="129">
        <v>8.8000000000000005E-3</v>
      </c>
      <c r="P68" s="129">
        <v>0.33529999999999999</v>
      </c>
      <c r="Q68" s="129">
        <v>0.43790000000000001</v>
      </c>
      <c r="R68" s="128">
        <v>0.99</v>
      </c>
      <c r="S68" s="128">
        <v>1.97</v>
      </c>
    </row>
    <row r="69" spans="1:19">
      <c r="A69" s="117" t="s">
        <v>370</v>
      </c>
      <c r="B69" s="127">
        <v>93</v>
      </c>
      <c r="C69" s="128">
        <v>1.35</v>
      </c>
      <c r="D69" s="128">
        <v>0.65</v>
      </c>
      <c r="E69" s="129">
        <v>0.97189999999999999</v>
      </c>
      <c r="F69" s="129">
        <v>1.4882</v>
      </c>
      <c r="G69" s="129">
        <v>0.59809999999999997</v>
      </c>
      <c r="H69" s="129">
        <v>6.9500000000000006E-2</v>
      </c>
      <c r="I69" s="129">
        <v>7.5600000000000001E-2</v>
      </c>
      <c r="J69" s="129">
        <v>8.6599999999999996E-2</v>
      </c>
      <c r="K69" s="129">
        <v>0.1454</v>
      </c>
      <c r="L69" s="129">
        <v>0.10879999999999999</v>
      </c>
      <c r="M69" s="129">
        <v>1.49E-2</v>
      </c>
      <c r="N69" s="129">
        <v>1.8112999999999999</v>
      </c>
      <c r="O69" s="129">
        <v>0.1094</v>
      </c>
      <c r="P69" s="129">
        <v>0.13750000000000001</v>
      </c>
      <c r="Q69" s="129">
        <v>0.64249999999999996</v>
      </c>
      <c r="R69" s="128">
        <v>0.69</v>
      </c>
      <c r="S69" s="128">
        <v>1.48</v>
      </c>
    </row>
    <row r="70" spans="1:19">
      <c r="A70" s="117" t="s">
        <v>371</v>
      </c>
      <c r="B70" s="127">
        <v>84</v>
      </c>
      <c r="C70" s="128">
        <v>1.1499999999999999</v>
      </c>
      <c r="D70" s="128">
        <v>1.1399999999999999</v>
      </c>
      <c r="E70" s="129">
        <v>0.90869999999999995</v>
      </c>
      <c r="F70" s="129">
        <v>8.2000000000000003E-2</v>
      </c>
      <c r="G70" s="129">
        <v>7.5700000000000003E-2</v>
      </c>
      <c r="H70" s="129">
        <v>9.0899999999999995E-2</v>
      </c>
      <c r="I70" s="129">
        <v>9.5699999999999993E-2</v>
      </c>
      <c r="J70" s="129">
        <v>7.51E-2</v>
      </c>
      <c r="K70" s="129">
        <v>0.33300000000000002</v>
      </c>
      <c r="L70" s="129">
        <v>0.2402</v>
      </c>
      <c r="M70" s="129">
        <v>0.3024</v>
      </c>
      <c r="N70" s="129">
        <v>2.0299999999999998</v>
      </c>
      <c r="O70" s="129">
        <v>7.2099999999999997E-2</v>
      </c>
      <c r="P70" s="129">
        <v>0.2671</v>
      </c>
      <c r="Q70" s="129">
        <v>0.62239999999999995</v>
      </c>
      <c r="R70" s="128">
        <v>0.4</v>
      </c>
      <c r="S70" s="128">
        <v>5.33</v>
      </c>
    </row>
    <row r="71" spans="1:19">
      <c r="A71" s="117" t="s">
        <v>257</v>
      </c>
      <c r="B71" s="127">
        <v>77</v>
      </c>
      <c r="C71" s="128">
        <v>1.28</v>
      </c>
      <c r="D71" s="128">
        <v>1.33</v>
      </c>
      <c r="E71" s="129">
        <v>0.65329999999999999</v>
      </c>
      <c r="F71" s="129">
        <v>0.15939999999999999</v>
      </c>
      <c r="G71" s="129">
        <v>0.13750000000000001</v>
      </c>
      <c r="H71" s="129">
        <v>0.1537</v>
      </c>
      <c r="I71" s="129">
        <v>0.121</v>
      </c>
      <c r="J71" s="129">
        <v>0.1394</v>
      </c>
      <c r="K71" s="129">
        <v>0.1074</v>
      </c>
      <c r="L71" s="129">
        <v>8.7999999999999995E-2</v>
      </c>
      <c r="M71" s="129">
        <v>9.5699999999999993E-2</v>
      </c>
      <c r="N71" s="129">
        <v>0.48459999999999998</v>
      </c>
      <c r="O71" s="129">
        <v>0.15140000000000001</v>
      </c>
      <c r="P71" s="129">
        <v>0.1124</v>
      </c>
      <c r="Q71" s="129">
        <v>2.0400000000000001E-2</v>
      </c>
      <c r="R71" s="128">
        <v>1.38</v>
      </c>
      <c r="S71" s="128">
        <v>1.64</v>
      </c>
    </row>
    <row r="72" spans="1:19">
      <c r="A72" s="117" t="s">
        <v>372</v>
      </c>
      <c r="B72" s="127">
        <v>31</v>
      </c>
      <c r="C72" s="128">
        <v>1.1299999999999999</v>
      </c>
      <c r="D72" s="128">
        <v>0.59</v>
      </c>
      <c r="E72" s="129">
        <v>0.82210000000000005</v>
      </c>
      <c r="F72" s="129">
        <v>1.4063000000000001</v>
      </c>
      <c r="G72" s="129">
        <v>0.58440000000000003</v>
      </c>
      <c r="H72" s="129">
        <v>0.1074</v>
      </c>
      <c r="I72" s="129">
        <v>5.1799999999999999E-2</v>
      </c>
      <c r="J72" s="129">
        <v>0.18590000000000001</v>
      </c>
      <c r="K72" s="129">
        <v>0.15629999999999999</v>
      </c>
      <c r="L72" s="129">
        <v>0.1295</v>
      </c>
      <c r="M72" s="129">
        <v>9.1800000000000007E-2</v>
      </c>
      <c r="N72" s="129">
        <v>2.2763</v>
      </c>
      <c r="O72" s="129">
        <v>-3.0200000000000001E-2</v>
      </c>
      <c r="P72" s="129">
        <v>0.27660000000000001</v>
      </c>
      <c r="Q72" s="129">
        <v>1.3736999999999999</v>
      </c>
      <c r="R72" s="128">
        <v>0.4</v>
      </c>
      <c r="S72" s="128">
        <v>2.85</v>
      </c>
    </row>
    <row r="73" spans="1:19">
      <c r="A73" s="117" t="s">
        <v>373</v>
      </c>
      <c r="B73" s="127">
        <v>11</v>
      </c>
      <c r="C73" s="128">
        <v>2.1800000000000002</v>
      </c>
      <c r="D73" s="128">
        <v>1.62</v>
      </c>
      <c r="E73" s="129">
        <v>0.77539999999999998</v>
      </c>
      <c r="F73" s="129">
        <v>0.59870000000000001</v>
      </c>
      <c r="G73" s="129">
        <v>0.3745</v>
      </c>
      <c r="H73" s="129">
        <v>0.35959999999999998</v>
      </c>
      <c r="I73" s="129">
        <v>-1.4E-3</v>
      </c>
      <c r="J73" s="129">
        <v>3.7900000000000003E-2</v>
      </c>
      <c r="K73" s="129">
        <v>-2.58E-2</v>
      </c>
      <c r="L73" s="129">
        <v>-4.7999999999999996E-3</v>
      </c>
      <c r="M73" s="129">
        <v>0.623</v>
      </c>
      <c r="N73" s="129">
        <v>5.5433000000000003</v>
      </c>
      <c r="O73" s="129">
        <v>0.31619999999999998</v>
      </c>
      <c r="P73" s="129">
        <v>0.17280000000000001</v>
      </c>
      <c r="Q73" s="129" t="s">
        <v>341</v>
      </c>
      <c r="R73" s="128">
        <v>0.3</v>
      </c>
      <c r="S73" s="128">
        <v>3.43</v>
      </c>
    </row>
    <row r="74" spans="1:19">
      <c r="A74" s="117" t="s">
        <v>258</v>
      </c>
      <c r="B74" s="127">
        <v>24</v>
      </c>
      <c r="C74" s="128">
        <v>1.25</v>
      </c>
      <c r="D74" s="128">
        <v>0.89</v>
      </c>
      <c r="E74" s="129">
        <v>0.64980000000000004</v>
      </c>
      <c r="F74" s="129">
        <v>0.63280000000000003</v>
      </c>
      <c r="G74" s="129">
        <v>0.3876</v>
      </c>
      <c r="H74" s="129">
        <v>0.31940000000000002</v>
      </c>
      <c r="I74" s="129">
        <v>0.1138</v>
      </c>
      <c r="J74" s="129">
        <v>0.1855</v>
      </c>
      <c r="K74" s="129">
        <v>0.121</v>
      </c>
      <c r="L74" s="129">
        <v>8.3299999999999999E-2</v>
      </c>
      <c r="M74" s="129">
        <v>6.2199999999999998E-2</v>
      </c>
      <c r="N74" s="129">
        <v>0.75649999999999995</v>
      </c>
      <c r="O74" s="129">
        <v>8.0999999999999996E-3</v>
      </c>
      <c r="P74" s="129">
        <v>0.25019999999999998</v>
      </c>
      <c r="Q74" s="129">
        <v>-8.5099999999999995E-2</v>
      </c>
      <c r="R74" s="128">
        <v>1.37</v>
      </c>
      <c r="S74" s="128">
        <v>1.1499999999999999</v>
      </c>
    </row>
    <row r="75" spans="1:19">
      <c r="A75" s="117" t="s">
        <v>259</v>
      </c>
      <c r="B75" s="127">
        <v>5</v>
      </c>
      <c r="C75" s="128">
        <v>1.47</v>
      </c>
      <c r="D75" s="128">
        <v>1.1499999999999999</v>
      </c>
      <c r="E75" s="129">
        <v>0.49609999999999999</v>
      </c>
      <c r="F75" s="129">
        <v>0.34710000000000002</v>
      </c>
      <c r="G75" s="129">
        <v>0.25769999999999998</v>
      </c>
      <c r="H75" s="129">
        <v>0.15579999999999999</v>
      </c>
      <c r="I75" s="129">
        <v>0.14069999999999999</v>
      </c>
      <c r="J75" s="129">
        <v>1.04E-2</v>
      </c>
      <c r="K75" s="129">
        <v>1.2907</v>
      </c>
      <c r="L75" s="129">
        <v>1.2601</v>
      </c>
      <c r="M75" s="129">
        <v>1.1355</v>
      </c>
      <c r="N75" s="129">
        <v>0.89500000000000002</v>
      </c>
      <c r="O75" s="129">
        <v>-0.1012</v>
      </c>
      <c r="P75" s="129">
        <v>0.91359999999999997</v>
      </c>
      <c r="Q75" s="129">
        <v>-1.9599999999999999E-2</v>
      </c>
      <c r="R75" s="128">
        <v>0.11</v>
      </c>
      <c r="S75" s="128">
        <v>14.13</v>
      </c>
    </row>
    <row r="76" spans="1:19">
      <c r="A76" s="117" t="s">
        <v>260</v>
      </c>
      <c r="B76" s="127">
        <v>12</v>
      </c>
      <c r="C76" s="128">
        <v>1.44</v>
      </c>
      <c r="D76" s="128">
        <v>1.24</v>
      </c>
      <c r="E76" s="129">
        <v>0.42949999999999999</v>
      </c>
      <c r="F76" s="129">
        <v>0.2515</v>
      </c>
      <c r="G76" s="129">
        <v>0.2009</v>
      </c>
      <c r="H76" s="129">
        <v>0.1643</v>
      </c>
      <c r="I76" s="129">
        <v>0.111</v>
      </c>
      <c r="J76" s="129">
        <v>0.2374</v>
      </c>
      <c r="K76" s="129">
        <v>0.2843</v>
      </c>
      <c r="L76" s="129">
        <v>0.18559999999999999</v>
      </c>
      <c r="M76" s="129">
        <v>0.17860000000000001</v>
      </c>
      <c r="N76" s="129">
        <v>1.7552000000000001</v>
      </c>
      <c r="O76" s="129">
        <v>-1.7600000000000001E-2</v>
      </c>
      <c r="P76" s="129">
        <v>0.3463</v>
      </c>
      <c r="Q76" s="129">
        <v>0.36170000000000002</v>
      </c>
      <c r="R76" s="128">
        <v>0.6</v>
      </c>
      <c r="S76" s="128">
        <v>3.44</v>
      </c>
    </row>
    <row r="77" spans="1:19">
      <c r="A77" s="117" t="s">
        <v>261</v>
      </c>
      <c r="B77" s="127">
        <v>56</v>
      </c>
      <c r="C77" s="128">
        <v>1.45</v>
      </c>
      <c r="D77" s="128">
        <v>1.1100000000000001</v>
      </c>
      <c r="E77" s="129">
        <v>0.70550000000000002</v>
      </c>
      <c r="F77" s="129">
        <v>0.4869</v>
      </c>
      <c r="G77" s="129">
        <v>0.32750000000000001</v>
      </c>
      <c r="H77" s="129">
        <v>0.1106</v>
      </c>
      <c r="I77" s="129">
        <v>8.2600000000000007E-2</v>
      </c>
      <c r="J77" s="129">
        <v>0.17369999999999999</v>
      </c>
      <c r="K77" s="129">
        <v>0.11509999999999999</v>
      </c>
      <c r="L77" s="129">
        <v>9.2600000000000002E-2</v>
      </c>
      <c r="M77" s="129">
        <v>7.2800000000000004E-2</v>
      </c>
      <c r="N77" s="129">
        <v>1.7470000000000001</v>
      </c>
      <c r="O77" s="129">
        <v>-9.5999999999999992E-3</v>
      </c>
      <c r="P77" s="129">
        <v>0.42670000000000002</v>
      </c>
      <c r="Q77" s="129">
        <v>0.50560000000000005</v>
      </c>
      <c r="R77" s="128">
        <v>0.89</v>
      </c>
      <c r="S77" s="128">
        <v>1.6</v>
      </c>
    </row>
    <row r="78" spans="1:19">
      <c r="A78" s="117" t="s">
        <v>374</v>
      </c>
      <c r="B78" s="127">
        <v>13</v>
      </c>
      <c r="C78" s="128">
        <v>0.93</v>
      </c>
      <c r="D78" s="128">
        <v>1.05</v>
      </c>
      <c r="E78" s="129">
        <v>0.30399999999999999</v>
      </c>
      <c r="F78" s="129">
        <v>0.2354</v>
      </c>
      <c r="G78" s="129">
        <v>0.19059999999999999</v>
      </c>
      <c r="H78" s="129">
        <v>0.13289999999999999</v>
      </c>
      <c r="I78" s="129" t="s">
        <v>341</v>
      </c>
      <c r="J78" s="129">
        <v>7.22E-2</v>
      </c>
      <c r="K78" s="129" t="s">
        <v>341</v>
      </c>
      <c r="L78" s="129" t="s">
        <v>341</v>
      </c>
      <c r="M78" s="129" t="s">
        <v>341</v>
      </c>
      <c r="N78" s="129" t="s">
        <v>341</v>
      </c>
      <c r="O78" s="129" t="s">
        <v>341</v>
      </c>
      <c r="P78" s="129">
        <v>0.15870000000000001</v>
      </c>
      <c r="Q78" s="129">
        <v>0.505</v>
      </c>
      <c r="R78" s="128" t="s">
        <v>341</v>
      </c>
      <c r="S78" s="128" t="s">
        <v>341</v>
      </c>
    </row>
    <row r="79" spans="1:19">
      <c r="A79" s="117" t="s">
        <v>262</v>
      </c>
      <c r="B79" s="127">
        <v>63</v>
      </c>
      <c r="C79" s="128">
        <v>1.27</v>
      </c>
      <c r="D79" s="128">
        <v>1.19</v>
      </c>
      <c r="E79" s="129">
        <v>0.68369999999999997</v>
      </c>
      <c r="F79" s="129">
        <v>0.12770000000000001</v>
      </c>
      <c r="G79" s="129">
        <v>0.1132</v>
      </c>
      <c r="H79" s="129">
        <v>0.38250000000000001</v>
      </c>
      <c r="I79" s="129">
        <v>0.20319999999999999</v>
      </c>
      <c r="J79" s="129">
        <v>0.2157</v>
      </c>
      <c r="K79" s="129">
        <v>0.15820000000000001</v>
      </c>
      <c r="L79" s="129">
        <v>0.11169999999999999</v>
      </c>
      <c r="M79" s="129">
        <v>0.107</v>
      </c>
      <c r="N79" s="129">
        <v>1.2427999999999999</v>
      </c>
      <c r="O79" s="129">
        <v>-4.82E-2</v>
      </c>
      <c r="P79" s="129">
        <v>0.46729999999999999</v>
      </c>
      <c r="Q79" s="129">
        <v>8.3599999999999994E-2</v>
      </c>
      <c r="R79" s="128">
        <v>1.82</v>
      </c>
      <c r="S79" s="128">
        <v>2.5</v>
      </c>
    </row>
    <row r="80" spans="1:19">
      <c r="A80" s="117" t="s">
        <v>375</v>
      </c>
      <c r="B80" s="127">
        <v>75</v>
      </c>
      <c r="C80" s="128">
        <v>1.77</v>
      </c>
      <c r="D80" s="128">
        <v>1.65</v>
      </c>
      <c r="E80" s="129">
        <v>0.92789999999999995</v>
      </c>
      <c r="F80" s="129">
        <v>0.24329999999999999</v>
      </c>
      <c r="G80" s="129">
        <v>0.19570000000000001</v>
      </c>
      <c r="H80" s="129">
        <v>0.2291</v>
      </c>
      <c r="I80" s="129">
        <v>0.14990000000000001</v>
      </c>
      <c r="J80" s="129">
        <v>0.23039999999999999</v>
      </c>
      <c r="K80" s="129">
        <v>7.4999999999999997E-2</v>
      </c>
      <c r="L80" s="129">
        <v>4.99E-2</v>
      </c>
      <c r="M80" s="129">
        <v>3.8600000000000002E-2</v>
      </c>
      <c r="N80" s="129">
        <v>2.1962000000000002</v>
      </c>
      <c r="O80" s="129">
        <v>8.4000000000000005E-2</v>
      </c>
      <c r="P80" s="129">
        <v>0.19620000000000001</v>
      </c>
      <c r="Q80" s="129">
        <v>0.86399999999999999</v>
      </c>
      <c r="R80" s="128">
        <v>3</v>
      </c>
      <c r="S80" s="128">
        <v>0.83</v>
      </c>
    </row>
    <row r="81" spans="1:19">
      <c r="A81" s="117" t="s">
        <v>376</v>
      </c>
      <c r="B81" s="127">
        <v>47</v>
      </c>
      <c r="C81" s="128">
        <v>1.44</v>
      </c>
      <c r="D81" s="128">
        <v>1.57</v>
      </c>
      <c r="E81" s="129">
        <v>0.60909999999999997</v>
      </c>
      <c r="F81" s="129">
        <v>5.6099999999999997E-2</v>
      </c>
      <c r="G81" s="129">
        <v>5.3199999999999997E-2</v>
      </c>
      <c r="H81" s="129">
        <v>0.36270000000000002</v>
      </c>
      <c r="I81" s="129">
        <v>0.28739999999999999</v>
      </c>
      <c r="J81" s="129">
        <v>0.24640000000000001</v>
      </c>
      <c r="K81" s="129">
        <v>9.3899999999999997E-2</v>
      </c>
      <c r="L81" s="129">
        <v>5.8200000000000002E-2</v>
      </c>
      <c r="M81" s="129">
        <v>5.5599999999999997E-2</v>
      </c>
      <c r="N81" s="129">
        <v>0.96550000000000002</v>
      </c>
      <c r="O81" s="129">
        <v>3.4000000000000002E-2</v>
      </c>
      <c r="P81" s="129">
        <v>0.21079999999999999</v>
      </c>
      <c r="Q81" s="129">
        <v>9.9000000000000008E-3</v>
      </c>
      <c r="R81" s="128">
        <v>4.9400000000000004</v>
      </c>
      <c r="S81" s="128">
        <v>0.87</v>
      </c>
    </row>
    <row r="82" spans="1:19">
      <c r="A82" s="117" t="s">
        <v>377</v>
      </c>
      <c r="B82" s="127">
        <v>20</v>
      </c>
      <c r="C82" s="128">
        <v>1.37</v>
      </c>
      <c r="D82" s="128">
        <v>1.1200000000000001</v>
      </c>
      <c r="E82" s="129">
        <v>0.5202</v>
      </c>
      <c r="F82" s="129">
        <v>0.38109999999999999</v>
      </c>
      <c r="G82" s="129">
        <v>0.27589999999999998</v>
      </c>
      <c r="H82" s="129">
        <v>0.20530000000000001</v>
      </c>
      <c r="I82" s="129">
        <v>9.8900000000000002E-2</v>
      </c>
      <c r="J82" s="129">
        <v>0.34429999999999999</v>
      </c>
      <c r="K82" s="129">
        <v>6.88E-2</v>
      </c>
      <c r="L82" s="129">
        <v>4.4600000000000001E-2</v>
      </c>
      <c r="M82" s="129">
        <v>4.3499999999999997E-2</v>
      </c>
      <c r="N82" s="129">
        <v>1.4044000000000001</v>
      </c>
      <c r="O82" s="129">
        <v>0.1356</v>
      </c>
      <c r="P82" s="129">
        <v>2.4899999999999999E-2</v>
      </c>
      <c r="Q82" s="129">
        <v>0.40760000000000002</v>
      </c>
      <c r="R82" s="128">
        <v>2.2200000000000002</v>
      </c>
      <c r="S82" s="128">
        <v>0.92</v>
      </c>
    </row>
    <row r="83" spans="1:19">
      <c r="A83" s="117" t="s">
        <v>264</v>
      </c>
      <c r="B83" s="127">
        <v>8</v>
      </c>
      <c r="C83" s="128">
        <v>1.04</v>
      </c>
      <c r="D83" s="128">
        <v>0.97</v>
      </c>
      <c r="E83" s="129">
        <v>0.37609999999999999</v>
      </c>
      <c r="F83" s="129">
        <v>0.1406</v>
      </c>
      <c r="G83" s="129">
        <v>0.12330000000000001</v>
      </c>
      <c r="H83" s="129">
        <v>0.16059999999999999</v>
      </c>
      <c r="I83" s="129">
        <v>0.12180000000000001</v>
      </c>
      <c r="J83" s="129">
        <v>0.31390000000000001</v>
      </c>
      <c r="K83" s="129">
        <v>8.1299999999999997E-2</v>
      </c>
      <c r="L83" s="129">
        <v>5.1299999999999998E-2</v>
      </c>
      <c r="M83" s="129">
        <v>5.1400000000000001E-2</v>
      </c>
      <c r="N83" s="129">
        <v>0.78269999999999995</v>
      </c>
      <c r="O83" s="129">
        <v>5.8799999999999998E-2</v>
      </c>
      <c r="P83" s="129">
        <v>0.47320000000000001</v>
      </c>
      <c r="Q83" s="129">
        <v>-6.2799999999999995E-2</v>
      </c>
      <c r="R83" s="128">
        <v>2.37</v>
      </c>
      <c r="S83" s="128">
        <v>1.04</v>
      </c>
    </row>
    <row r="84" spans="1:19">
      <c r="A84" s="117" t="s">
        <v>265</v>
      </c>
      <c r="B84" s="127">
        <v>37</v>
      </c>
      <c r="C84" s="128">
        <v>1.29</v>
      </c>
      <c r="D84" s="128">
        <v>1.1399999999999999</v>
      </c>
      <c r="E84" s="129">
        <v>0.67710000000000004</v>
      </c>
      <c r="F84" s="129">
        <v>0.25580000000000003</v>
      </c>
      <c r="G84" s="129">
        <v>0.20369999999999999</v>
      </c>
      <c r="H84" s="129">
        <v>0.21010000000000001</v>
      </c>
      <c r="I84" s="129">
        <v>0.13600000000000001</v>
      </c>
      <c r="J84" s="129">
        <v>0.25019999999999998</v>
      </c>
      <c r="K84" s="129">
        <v>5.8400000000000001E-2</v>
      </c>
      <c r="L84" s="129">
        <v>3.8300000000000001E-2</v>
      </c>
      <c r="M84" s="129">
        <v>3.4500000000000003E-2</v>
      </c>
      <c r="N84" s="129">
        <v>1.2902</v>
      </c>
      <c r="O84" s="129">
        <v>8.8000000000000005E-3</v>
      </c>
      <c r="P84" s="129">
        <v>0.29160000000000003</v>
      </c>
      <c r="Q84" s="129">
        <v>0.1497</v>
      </c>
      <c r="R84" s="128">
        <v>3.55</v>
      </c>
      <c r="S84" s="128">
        <v>0.59</v>
      </c>
    </row>
    <row r="85" spans="1:19">
      <c r="A85" s="117" t="s">
        <v>378</v>
      </c>
      <c r="B85" s="127">
        <v>30</v>
      </c>
      <c r="C85" s="128">
        <v>0.75</v>
      </c>
      <c r="D85" s="128">
        <v>0.64</v>
      </c>
      <c r="E85" s="129">
        <v>0.4002</v>
      </c>
      <c r="F85" s="129">
        <v>0.41339999999999999</v>
      </c>
      <c r="G85" s="129">
        <v>0.29249999999999998</v>
      </c>
      <c r="H85" s="129">
        <v>0.1643</v>
      </c>
      <c r="I85" s="129">
        <v>0.1038</v>
      </c>
      <c r="J85" s="129">
        <v>0.31209999999999999</v>
      </c>
      <c r="K85" s="129">
        <v>3.1800000000000002E-2</v>
      </c>
      <c r="L85" s="129">
        <v>2.07E-2</v>
      </c>
      <c r="M85" s="129">
        <v>4.1599999999999998E-2</v>
      </c>
      <c r="N85" s="129">
        <v>1.2058</v>
      </c>
      <c r="O85" s="129">
        <v>-1E-4</v>
      </c>
      <c r="P85" s="129">
        <v>0.28620000000000001</v>
      </c>
      <c r="Q85" s="129">
        <v>0.2306</v>
      </c>
      <c r="R85" s="128">
        <v>5.0199999999999996</v>
      </c>
      <c r="S85" s="128">
        <v>0.35</v>
      </c>
    </row>
    <row r="86" spans="1:19">
      <c r="A86" s="117" t="s">
        <v>266</v>
      </c>
      <c r="B86" s="127">
        <v>28</v>
      </c>
      <c r="C86" s="128">
        <v>1.2</v>
      </c>
      <c r="D86" s="128">
        <v>0.43</v>
      </c>
      <c r="E86" s="129">
        <v>0.44309999999999999</v>
      </c>
      <c r="F86" s="129">
        <v>4.3056000000000001</v>
      </c>
      <c r="G86" s="129">
        <v>0.8115</v>
      </c>
      <c r="H86" s="129" t="s">
        <v>341</v>
      </c>
      <c r="I86" s="129">
        <v>0.10390000000000001</v>
      </c>
      <c r="J86" s="129">
        <v>0.26219999999999999</v>
      </c>
      <c r="K86" s="129">
        <v>0.48780000000000001</v>
      </c>
      <c r="L86" s="129">
        <v>0.35580000000000001</v>
      </c>
      <c r="M86" s="129">
        <v>0.1145</v>
      </c>
      <c r="N86" s="129">
        <v>0.8669</v>
      </c>
      <c r="O86" s="129">
        <v>1.2316</v>
      </c>
      <c r="P86" s="129">
        <v>0.10929999999999999</v>
      </c>
      <c r="Q86" s="129">
        <v>-1.2665999999999999</v>
      </c>
      <c r="R86" s="128">
        <v>0.28999999999999998</v>
      </c>
      <c r="S86" s="128">
        <v>3.08</v>
      </c>
    </row>
    <row r="87" spans="1:19">
      <c r="A87" s="117" t="s">
        <v>267</v>
      </c>
      <c r="B87" s="127">
        <v>141</v>
      </c>
      <c r="C87" s="128">
        <v>1.5</v>
      </c>
      <c r="D87" s="128">
        <v>1.69</v>
      </c>
      <c r="E87" s="129">
        <v>0.70520000000000005</v>
      </c>
      <c r="F87" s="129">
        <v>8.3500000000000005E-2</v>
      </c>
      <c r="G87" s="129">
        <v>7.6999999999999999E-2</v>
      </c>
      <c r="H87" s="129">
        <v>0.39100000000000001</v>
      </c>
      <c r="I87" s="129">
        <v>0.28410000000000002</v>
      </c>
      <c r="J87" s="129">
        <v>0.1101</v>
      </c>
      <c r="K87" s="129">
        <v>0.2276</v>
      </c>
      <c r="L87" s="129">
        <v>0.18129999999999999</v>
      </c>
      <c r="M87" s="129">
        <v>0.1782</v>
      </c>
      <c r="N87" s="129">
        <v>1.0831999999999999</v>
      </c>
      <c r="O87" s="129">
        <v>6.93E-2</v>
      </c>
      <c r="P87" s="129">
        <v>0.30530000000000002</v>
      </c>
      <c r="Q87" s="129">
        <v>5.8299999999999998E-2</v>
      </c>
      <c r="R87" s="128">
        <v>1.57</v>
      </c>
      <c r="S87" s="128">
        <v>2.06</v>
      </c>
    </row>
    <row r="88" spans="1:19">
      <c r="A88" s="117" t="s">
        <v>379</v>
      </c>
      <c r="B88" s="127">
        <v>12</v>
      </c>
      <c r="C88" s="128">
        <v>1.79</v>
      </c>
      <c r="D88" s="128">
        <v>2.42</v>
      </c>
      <c r="E88" s="129">
        <v>0.68700000000000006</v>
      </c>
      <c r="F88" s="129">
        <v>0.152</v>
      </c>
      <c r="G88" s="129">
        <v>0.13200000000000001</v>
      </c>
      <c r="H88" s="129">
        <v>0.65759999999999996</v>
      </c>
      <c r="I88" s="129">
        <v>0.40439999999999998</v>
      </c>
      <c r="J88" s="129">
        <v>0.1517</v>
      </c>
      <c r="K88" s="129">
        <v>0.2165</v>
      </c>
      <c r="L88" s="129">
        <v>0.183</v>
      </c>
      <c r="M88" s="129">
        <v>0.16300000000000001</v>
      </c>
      <c r="N88" s="129">
        <v>1.0587</v>
      </c>
      <c r="O88" s="129">
        <v>0.12509999999999999</v>
      </c>
      <c r="P88" s="129">
        <v>0.113</v>
      </c>
      <c r="Q88" s="129">
        <v>2.58E-2</v>
      </c>
      <c r="R88" s="128">
        <v>2.21</v>
      </c>
      <c r="S88" s="128">
        <v>0.97</v>
      </c>
    </row>
    <row r="89" spans="1:19">
      <c r="A89" s="117" t="s">
        <v>269</v>
      </c>
      <c r="B89" s="127">
        <v>19</v>
      </c>
      <c r="C89" s="128">
        <v>1.25</v>
      </c>
      <c r="D89" s="128">
        <v>1.38</v>
      </c>
      <c r="E89" s="129">
        <v>0.55520000000000003</v>
      </c>
      <c r="F89" s="129">
        <v>2.18E-2</v>
      </c>
      <c r="G89" s="129">
        <v>2.1299999999999999E-2</v>
      </c>
      <c r="H89" s="129">
        <v>0.3049</v>
      </c>
      <c r="I89" s="129">
        <v>0.27410000000000001</v>
      </c>
      <c r="J89" s="129">
        <v>0.24310000000000001</v>
      </c>
      <c r="K89" s="129">
        <v>0.1134</v>
      </c>
      <c r="L89" s="129">
        <v>8.2199999999999995E-2</v>
      </c>
      <c r="M89" s="129">
        <v>8.4400000000000003E-2</v>
      </c>
      <c r="N89" s="129">
        <v>1.2383999999999999</v>
      </c>
      <c r="O89" s="129">
        <v>0.1628</v>
      </c>
      <c r="P89" s="129">
        <v>0.25890000000000002</v>
      </c>
      <c r="Q89" s="129">
        <v>0.19070000000000001</v>
      </c>
      <c r="R89" s="128">
        <v>3.33</v>
      </c>
      <c r="S89" s="128">
        <v>1.52</v>
      </c>
    </row>
    <row r="90" spans="1:19">
      <c r="A90" s="117" t="s">
        <v>380</v>
      </c>
      <c r="B90" s="127">
        <v>32</v>
      </c>
      <c r="C90" s="128">
        <v>1.68</v>
      </c>
      <c r="D90" s="128">
        <v>1.4</v>
      </c>
      <c r="E90" s="129">
        <v>0.56940000000000002</v>
      </c>
      <c r="F90" s="129">
        <v>0.46400000000000002</v>
      </c>
      <c r="G90" s="129">
        <v>0.31690000000000002</v>
      </c>
      <c r="H90" s="129">
        <v>7.2800000000000004E-2</v>
      </c>
      <c r="I90" s="129">
        <v>5.9400000000000001E-2</v>
      </c>
      <c r="J90" s="129">
        <v>0.21029999999999999</v>
      </c>
      <c r="K90" s="129">
        <v>5.8299999999999998E-2</v>
      </c>
      <c r="L90" s="129">
        <v>4.9000000000000002E-2</v>
      </c>
      <c r="M90" s="129">
        <v>3.5200000000000002E-2</v>
      </c>
      <c r="N90" s="129">
        <v>0.6643</v>
      </c>
      <c r="O90" s="129">
        <v>0.11409999999999999</v>
      </c>
      <c r="P90" s="129">
        <v>0.34260000000000002</v>
      </c>
      <c r="Q90" s="129">
        <v>-6.3899999999999998E-2</v>
      </c>
      <c r="R90" s="128">
        <v>1.21</v>
      </c>
      <c r="S90" s="128">
        <v>0.78</v>
      </c>
    </row>
    <row r="91" spans="1:19">
      <c r="A91" s="117" t="s">
        <v>272</v>
      </c>
      <c r="B91" s="127">
        <v>99</v>
      </c>
      <c r="C91" s="128">
        <v>1.02</v>
      </c>
      <c r="D91" s="128">
        <v>1.28</v>
      </c>
      <c r="E91" s="129">
        <v>0.87770000000000004</v>
      </c>
      <c r="F91" s="129">
        <v>0.12959999999999999</v>
      </c>
      <c r="G91" s="129">
        <v>0.1148</v>
      </c>
      <c r="H91" s="129">
        <v>0.29930000000000001</v>
      </c>
      <c r="I91" s="129">
        <v>0.23300000000000001</v>
      </c>
      <c r="J91" s="129">
        <v>0.13159999999999999</v>
      </c>
      <c r="K91" s="129">
        <v>0.1087</v>
      </c>
      <c r="L91" s="129">
        <v>8.5300000000000001E-2</v>
      </c>
      <c r="M91" s="129">
        <v>7.22E-2</v>
      </c>
      <c r="N91" s="129">
        <v>0.60980000000000001</v>
      </c>
      <c r="O91" s="129">
        <v>-3.3799999999999997E-2</v>
      </c>
      <c r="P91" s="129">
        <v>0.53720000000000001</v>
      </c>
      <c r="Q91" s="129">
        <v>-0.21249999999999999</v>
      </c>
      <c r="R91" s="128">
        <v>2.73</v>
      </c>
      <c r="S91" s="128">
        <v>1.25</v>
      </c>
    </row>
    <row r="92" spans="1:19">
      <c r="A92" s="117" t="s">
        <v>273</v>
      </c>
      <c r="B92" s="127">
        <v>74</v>
      </c>
      <c r="C92" s="128">
        <v>0.98</v>
      </c>
      <c r="D92" s="128">
        <v>0.82</v>
      </c>
      <c r="E92" s="129">
        <v>0.68579999999999997</v>
      </c>
      <c r="F92" s="129">
        <v>0.34089999999999998</v>
      </c>
      <c r="G92" s="129">
        <v>0.25419999999999998</v>
      </c>
      <c r="H92" s="129">
        <v>0.16470000000000001</v>
      </c>
      <c r="I92" s="129">
        <v>0.13700000000000001</v>
      </c>
      <c r="J92" s="129">
        <v>0.14219999999999999</v>
      </c>
      <c r="K92" s="129">
        <v>0.22739999999999999</v>
      </c>
      <c r="L92" s="129">
        <v>0.1656</v>
      </c>
      <c r="M92" s="129">
        <v>5.11E-2</v>
      </c>
      <c r="N92" s="129">
        <v>0.95550000000000002</v>
      </c>
      <c r="O92" s="129">
        <v>-0.12379999999999999</v>
      </c>
      <c r="P92" s="129">
        <v>0.43630000000000002</v>
      </c>
      <c r="Q92" s="129">
        <v>-5.5399999999999998E-2</v>
      </c>
      <c r="R92" s="128">
        <v>0.83</v>
      </c>
      <c r="S92" s="128">
        <v>1.85</v>
      </c>
    </row>
    <row r="93" spans="1:19">
      <c r="A93" s="117" t="s">
        <v>381</v>
      </c>
      <c r="B93" s="127">
        <v>25</v>
      </c>
      <c r="C93" s="128">
        <v>0.88</v>
      </c>
      <c r="D93" s="128">
        <v>0.54</v>
      </c>
      <c r="E93" s="129">
        <v>0.60399999999999998</v>
      </c>
      <c r="F93" s="129">
        <v>0.96150000000000002</v>
      </c>
      <c r="G93" s="129">
        <v>0.49020000000000002</v>
      </c>
      <c r="H93" s="129">
        <v>0.18290000000000001</v>
      </c>
      <c r="I93" s="129">
        <v>8.3400000000000002E-2</v>
      </c>
      <c r="J93" s="129">
        <v>0.29420000000000002</v>
      </c>
      <c r="K93" s="129">
        <v>0.1583</v>
      </c>
      <c r="L93" s="129">
        <v>0.11210000000000001</v>
      </c>
      <c r="M93" s="129">
        <v>8.5000000000000006E-2</v>
      </c>
      <c r="N93" s="129">
        <v>0.76439999999999997</v>
      </c>
      <c r="O93" s="129">
        <v>-7.7600000000000002E-2</v>
      </c>
      <c r="P93" s="129">
        <v>0.80940000000000001</v>
      </c>
      <c r="Q93" s="129">
        <v>-0.37319999999999998</v>
      </c>
      <c r="R93" s="128">
        <v>0.74</v>
      </c>
      <c r="S93" s="128">
        <v>1.75</v>
      </c>
    </row>
    <row r="94" spans="1:19">
      <c r="A94" s="117" t="s">
        <v>275</v>
      </c>
      <c r="B94" s="127">
        <v>148</v>
      </c>
      <c r="C94" s="128">
        <v>0.71</v>
      </c>
      <c r="D94" s="128">
        <v>0.75</v>
      </c>
      <c r="E94" s="129">
        <v>0.5393</v>
      </c>
      <c r="F94" s="129">
        <v>0.29330000000000001</v>
      </c>
      <c r="G94" s="129">
        <v>0.2268</v>
      </c>
      <c r="H94" s="129">
        <v>-2.1399999999999999E-2</v>
      </c>
      <c r="I94" s="129" t="s">
        <v>341</v>
      </c>
      <c r="J94" s="129">
        <v>0.12429999999999999</v>
      </c>
      <c r="K94" s="129" t="s">
        <v>341</v>
      </c>
      <c r="L94" s="129" t="s">
        <v>341</v>
      </c>
      <c r="M94" s="129" t="s">
        <v>341</v>
      </c>
      <c r="N94" s="129" t="s">
        <v>341</v>
      </c>
      <c r="O94" s="129" t="s">
        <v>341</v>
      </c>
      <c r="P94" s="129" t="s">
        <v>341</v>
      </c>
      <c r="Q94" s="129">
        <v>0</v>
      </c>
      <c r="R94" s="128" t="s">
        <v>341</v>
      </c>
      <c r="S94" s="128" t="s">
        <v>341</v>
      </c>
    </row>
    <row r="95" spans="1:19">
      <c r="A95" s="117" t="s">
        <v>277</v>
      </c>
      <c r="B95" s="127">
        <v>11</v>
      </c>
      <c r="C95" s="128">
        <v>0.85</v>
      </c>
      <c r="D95" s="128">
        <v>0.78</v>
      </c>
      <c r="E95" s="129">
        <v>0.4153</v>
      </c>
      <c r="F95" s="129">
        <v>0.18709999999999999</v>
      </c>
      <c r="G95" s="129">
        <v>0.15759999999999999</v>
      </c>
      <c r="H95" s="129">
        <v>0.74209999999999998</v>
      </c>
      <c r="I95" s="129">
        <v>0.27979999999999999</v>
      </c>
      <c r="J95" s="129">
        <v>0.31030000000000002</v>
      </c>
      <c r="K95" s="129">
        <v>0.20610000000000001</v>
      </c>
      <c r="L95" s="129">
        <v>0.15240000000000001</v>
      </c>
      <c r="M95" s="129">
        <v>8.4599999999999995E-2</v>
      </c>
      <c r="N95" s="129">
        <v>0.64690000000000003</v>
      </c>
      <c r="O95" s="129">
        <v>-2.4400000000000002E-2</v>
      </c>
      <c r="P95" s="129">
        <v>0.67559999999999998</v>
      </c>
      <c r="Q95" s="129">
        <v>-4.2000000000000003E-2</v>
      </c>
      <c r="R95" s="128">
        <v>1.84</v>
      </c>
      <c r="S95" s="128">
        <v>2.36</v>
      </c>
    </row>
    <row r="96" spans="1:19">
      <c r="A96" s="117" t="s">
        <v>278</v>
      </c>
      <c r="B96" s="127">
        <v>15</v>
      </c>
      <c r="C96" s="128">
        <v>1.3</v>
      </c>
      <c r="D96" s="128">
        <v>1.2</v>
      </c>
      <c r="E96" s="129">
        <v>0.60340000000000005</v>
      </c>
      <c r="F96" s="129">
        <v>0.2064</v>
      </c>
      <c r="G96" s="129">
        <v>0.1711</v>
      </c>
      <c r="H96" s="129">
        <v>0.62529999999999997</v>
      </c>
      <c r="I96" s="129">
        <v>0.19539999999999999</v>
      </c>
      <c r="J96" s="129">
        <v>0.20300000000000001</v>
      </c>
      <c r="K96" s="129">
        <v>0.1085</v>
      </c>
      <c r="L96" s="129">
        <v>7.2400000000000006E-2</v>
      </c>
      <c r="M96" s="129">
        <v>7.3700000000000002E-2</v>
      </c>
      <c r="N96" s="129">
        <v>1.1415999999999999</v>
      </c>
      <c r="O96" s="129">
        <v>8.5500000000000007E-2</v>
      </c>
      <c r="P96" s="129">
        <v>0.25040000000000001</v>
      </c>
      <c r="Q96" s="129">
        <v>0.13389999999999999</v>
      </c>
      <c r="R96" s="128">
        <v>2.7</v>
      </c>
      <c r="S96" s="128">
        <v>1.48</v>
      </c>
    </row>
    <row r="97" spans="1:19">
      <c r="A97" s="117" t="s">
        <v>382</v>
      </c>
      <c r="B97" s="127">
        <v>36</v>
      </c>
      <c r="C97" s="128">
        <v>1.24</v>
      </c>
      <c r="D97" s="128">
        <v>1.08</v>
      </c>
      <c r="E97" s="129">
        <v>0.5988</v>
      </c>
      <c r="F97" s="129">
        <v>0.2777</v>
      </c>
      <c r="G97" s="129">
        <v>0.21729999999999999</v>
      </c>
      <c r="H97" s="129">
        <v>8.1900000000000001E-2</v>
      </c>
      <c r="I97" s="129">
        <v>9.0700000000000003E-2</v>
      </c>
      <c r="J97" s="129">
        <v>0.25480000000000003</v>
      </c>
      <c r="K97" s="129">
        <v>6.3700000000000007E-2</v>
      </c>
      <c r="L97" s="129">
        <v>4.2000000000000003E-2</v>
      </c>
      <c r="M97" s="129">
        <v>2.7400000000000001E-2</v>
      </c>
      <c r="N97" s="129">
        <v>1.5691999999999999</v>
      </c>
      <c r="O97" s="129">
        <v>5.0299999999999997E-2</v>
      </c>
      <c r="P97" s="129">
        <v>0.41070000000000001</v>
      </c>
      <c r="Q97" s="129">
        <v>0.94069999999999998</v>
      </c>
      <c r="R97" s="128">
        <v>2.16</v>
      </c>
      <c r="S97" s="128">
        <v>1.28</v>
      </c>
    </row>
    <row r="98" spans="1:19">
      <c r="A98" s="117" t="s">
        <v>280</v>
      </c>
      <c r="B98" s="127">
        <v>4</v>
      </c>
      <c r="C98" s="128">
        <v>0.96</v>
      </c>
      <c r="D98" s="128">
        <v>0.48</v>
      </c>
      <c r="E98" s="129">
        <v>0.32679999999999998</v>
      </c>
      <c r="F98" s="129">
        <v>1.5503</v>
      </c>
      <c r="G98" s="129">
        <v>0.6079</v>
      </c>
      <c r="H98" s="129">
        <v>3.1199999999999999E-2</v>
      </c>
      <c r="I98" s="129">
        <v>4.5600000000000002E-2</v>
      </c>
      <c r="J98" s="129">
        <v>0.26069999999999999</v>
      </c>
      <c r="K98" s="129">
        <v>0.11600000000000001</v>
      </c>
      <c r="L98" s="129">
        <v>7.8100000000000003E-2</v>
      </c>
      <c r="M98" s="129">
        <v>5.4999999999999997E-3</v>
      </c>
      <c r="N98" s="129">
        <v>1.6469</v>
      </c>
      <c r="O98" s="129">
        <v>7.5200000000000003E-2</v>
      </c>
      <c r="P98" s="129">
        <v>3.2000000000000002E-3</v>
      </c>
      <c r="Q98" s="129">
        <v>1.3229</v>
      </c>
      <c r="R98" s="128">
        <v>0.57999999999999996</v>
      </c>
      <c r="S98" s="128">
        <v>1.39</v>
      </c>
    </row>
    <row r="99" spans="1:19">
      <c r="A99" s="117" t="s">
        <v>281</v>
      </c>
      <c r="B99" s="127">
        <v>11</v>
      </c>
      <c r="C99" s="128">
        <v>0.66</v>
      </c>
      <c r="D99" s="128">
        <v>0.43</v>
      </c>
      <c r="E99" s="129">
        <v>0.18890000000000001</v>
      </c>
      <c r="F99" s="129">
        <v>0.81420000000000003</v>
      </c>
      <c r="G99" s="129">
        <v>0.44879999999999998</v>
      </c>
      <c r="H99" s="129">
        <v>8.4400000000000003E-2</v>
      </c>
      <c r="I99" s="129">
        <v>5.4199999999999998E-2</v>
      </c>
      <c r="J99" s="129">
        <v>0.35220000000000001</v>
      </c>
      <c r="K99" s="129">
        <v>0.2661</v>
      </c>
      <c r="L99" s="129">
        <v>0.18049999999999999</v>
      </c>
      <c r="M99" s="129">
        <v>0.1225</v>
      </c>
      <c r="N99" s="129">
        <v>2.5002</v>
      </c>
      <c r="O99" s="129">
        <v>7.51E-2</v>
      </c>
      <c r="P99" s="129">
        <v>0.48159999999999997</v>
      </c>
      <c r="Q99" s="129">
        <v>1.0714999999999999</v>
      </c>
      <c r="R99" s="128">
        <v>0.3</v>
      </c>
      <c r="S99" s="128">
        <v>4.3899999999999997</v>
      </c>
    </row>
    <row r="100" spans="1:19">
      <c r="A100" s="117" t="s">
        <v>383</v>
      </c>
      <c r="B100" s="127">
        <v>57</v>
      </c>
      <c r="C100" s="128">
        <v>1.27</v>
      </c>
      <c r="D100" s="128">
        <v>1.1200000000000001</v>
      </c>
      <c r="E100" s="129">
        <v>0.75029999999999997</v>
      </c>
      <c r="F100" s="129">
        <v>0.27060000000000001</v>
      </c>
      <c r="G100" s="129">
        <v>0.21299999999999999</v>
      </c>
      <c r="H100" s="129">
        <v>0.21340000000000001</v>
      </c>
      <c r="I100" s="129">
        <v>-0.18210000000000001</v>
      </c>
      <c r="J100" s="129">
        <v>0.1212</v>
      </c>
      <c r="K100" s="129">
        <v>-0.1147</v>
      </c>
      <c r="L100" s="129">
        <v>-0.15909999999999999</v>
      </c>
      <c r="M100" s="129">
        <v>7.9600000000000004E-2</v>
      </c>
      <c r="N100" s="129">
        <v>0.85529999999999995</v>
      </c>
      <c r="O100" s="129">
        <v>7.6200000000000004E-2</v>
      </c>
      <c r="P100" s="129">
        <v>9.1300000000000006E-2</v>
      </c>
      <c r="Q100" s="129" t="s">
        <v>341</v>
      </c>
      <c r="R100" s="128">
        <v>1.1399999999999999</v>
      </c>
      <c r="S100" s="128">
        <v>1.91</v>
      </c>
    </row>
    <row r="101" spans="1:19">
      <c r="A101" s="130" t="s">
        <v>384</v>
      </c>
      <c r="B101" s="131">
        <v>5891</v>
      </c>
      <c r="C101" s="132">
        <v>1.1499999999999999</v>
      </c>
      <c r="D101" s="132">
        <v>0.92</v>
      </c>
      <c r="E101" s="129">
        <v>0.75080000000000002</v>
      </c>
      <c r="F101" s="133">
        <v>0.46639999999999998</v>
      </c>
      <c r="G101" s="133">
        <v>0.31809999999999999</v>
      </c>
      <c r="H101" s="133">
        <v>0.16070000000000001</v>
      </c>
      <c r="I101" s="133">
        <v>0.1221</v>
      </c>
      <c r="J101" s="133">
        <v>0.15479999999999999</v>
      </c>
      <c r="K101" s="133">
        <v>0.1724</v>
      </c>
      <c r="L101" s="133">
        <v>0.12620000000000001</v>
      </c>
      <c r="M101" s="133">
        <v>8.3199999999999996E-2</v>
      </c>
      <c r="N101" s="133">
        <v>1.2546999999999999</v>
      </c>
      <c r="O101" s="133">
        <v>7.0099999999999996E-2</v>
      </c>
      <c r="P101" s="133">
        <v>0.37919999999999998</v>
      </c>
      <c r="Q101" s="133">
        <v>8.6499999999999994E-2</v>
      </c>
      <c r="R101" s="132">
        <v>0.97</v>
      </c>
      <c r="S101" s="132">
        <v>1.67</v>
      </c>
    </row>
  </sheetData>
  <phoneticPr fontId="20"/>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48786-73BE-4125-8A78-44EDED77CA77}">
  <sheetPr codeName="Sheet2"/>
  <dimension ref="A1:M52"/>
  <sheetViews>
    <sheetView topLeftCell="A14" workbookViewId="0">
      <selection activeCell="A27" sqref="A27"/>
    </sheetView>
  </sheetViews>
  <sheetFormatPr defaultColWidth="11.42578125" defaultRowHeight="12"/>
  <cols>
    <col min="1" max="1" width="36.140625" customWidth="1"/>
    <col min="2" max="2" width="15" customWidth="1"/>
    <col min="3" max="3" width="13.140625" customWidth="1"/>
    <col min="4" max="4" width="14.85546875" customWidth="1"/>
    <col min="5" max="5" width="11.140625" bestFit="1" customWidth="1"/>
    <col min="6" max="6" width="13.140625" customWidth="1"/>
    <col min="7" max="11" width="12.140625" bestFit="1" customWidth="1"/>
    <col min="12" max="12" width="11.140625" bestFit="1" customWidth="1"/>
    <col min="13" max="13" width="11.5703125" bestFit="1" customWidth="1"/>
  </cols>
  <sheetData>
    <row r="1" spans="1:13" s="67" customFormat="1">
      <c r="A1" s="97"/>
      <c r="B1" s="97" t="s">
        <v>59</v>
      </c>
      <c r="C1" s="97">
        <v>1</v>
      </c>
      <c r="D1" s="97">
        <v>2</v>
      </c>
      <c r="E1" s="97">
        <v>3</v>
      </c>
      <c r="F1" s="97">
        <v>4</v>
      </c>
      <c r="G1" s="97">
        <v>5</v>
      </c>
      <c r="H1" s="97">
        <v>6</v>
      </c>
      <c r="I1" s="97">
        <v>7</v>
      </c>
      <c r="J1" s="97">
        <v>8</v>
      </c>
      <c r="K1" s="97">
        <v>9</v>
      </c>
      <c r="L1" s="97">
        <v>10</v>
      </c>
      <c r="M1" s="97" t="s">
        <v>60</v>
      </c>
    </row>
    <row r="2" spans="1:13">
      <c r="A2" s="10" t="s">
        <v>61</v>
      </c>
      <c r="B2" s="10"/>
      <c r="C2" s="98">
        <f>IF('Input Sheet(assumtion)'!$E$30="Yes",'Revenue Growth Numbers'!B3,'Input Sheet(assumtion)'!$E$31)</f>
        <v>0.7</v>
      </c>
      <c r="D2" s="98">
        <f>IF('Input Sheet(assumtion)'!$E$30="Yes",'Revenue Growth Numbers'!B4,'Input Sheet(assumtion)'!$E$31)</f>
        <v>0.55000000000000004</v>
      </c>
      <c r="E2" s="98">
        <f>IF('Input Sheet(assumtion)'!$E$30="Yes",'Revenue Growth Numbers'!B5,'Input Sheet(assumtion)'!$E$31)</f>
        <v>0.45</v>
      </c>
      <c r="F2" s="98">
        <f>IF('Input Sheet(assumtion)'!$E$30="Yes",'Revenue Growth Numbers'!B6,'Input Sheet(assumtion)'!$E$31)</f>
        <v>0.4</v>
      </c>
      <c r="G2" s="98">
        <f>IF('Input Sheet(assumtion)'!$E$30="Yes",'Revenue Growth Numbers'!B7,'Input Sheet(assumtion)'!$E$31)</f>
        <v>0.35</v>
      </c>
      <c r="H2" s="98">
        <f>IF('Input Sheet(assumtion)'!$E$30="Yes",'Revenue Growth Numbers'!B8,'Input Sheet(assumtion)'!$E$31)</f>
        <v>0.3</v>
      </c>
      <c r="I2" s="98">
        <f>IF('Input Sheet(assumtion)'!$E$30="Yes",'Revenue Growth Numbers'!B9,'Input Sheet(assumtion)'!$E$31)</f>
        <v>0.25</v>
      </c>
      <c r="J2" s="98">
        <f>IF('Input Sheet(assumtion)'!$E$30="Yes",'Revenue Growth Numbers'!B10,'Input Sheet(assumtion)'!$E$31)</f>
        <v>0.2</v>
      </c>
      <c r="K2" s="98">
        <f>IF('Input Sheet(assumtion)'!$E$30="Yes",'Revenue Growth Numbers'!B11,'Input Sheet(assumtion)'!$E$31)</f>
        <v>0.15</v>
      </c>
      <c r="L2" s="98">
        <f>IF('Input Sheet(assumtion)'!$E$30="Yes",'Revenue Growth Numbers'!B12,'Input Sheet(assumtion)'!$E$31)</f>
        <v>0.1</v>
      </c>
      <c r="M2" s="99">
        <f>'Input Sheet(assumtion)'!C38</f>
        <v>0.03</v>
      </c>
    </row>
    <row r="3" spans="1:13">
      <c r="A3" s="10" t="s">
        <v>62</v>
      </c>
      <c r="B3" s="101">
        <f>'Input Sheet(assumtion)'!B8</f>
        <v>168920</v>
      </c>
      <c r="C3" s="101">
        <f>B3*(1+C2)</f>
        <v>287164</v>
      </c>
      <c r="D3" s="101">
        <f t="shared" ref="D3:M3" si="0">C3*(1+D2)</f>
        <v>445104.2</v>
      </c>
      <c r="E3" s="101">
        <f t="shared" si="0"/>
        <v>645401.09</v>
      </c>
      <c r="F3" s="101">
        <f t="shared" si="0"/>
        <v>903561.52599999995</v>
      </c>
      <c r="G3" s="101">
        <f t="shared" si="0"/>
        <v>1219808.0601000001</v>
      </c>
      <c r="H3" s="101">
        <f t="shared" si="0"/>
        <v>1585750.4781300002</v>
      </c>
      <c r="I3" s="101">
        <f t="shared" si="0"/>
        <v>1982188.0976625001</v>
      </c>
      <c r="J3" s="101">
        <f t="shared" si="0"/>
        <v>2378625.717195</v>
      </c>
      <c r="K3" s="101">
        <f t="shared" si="0"/>
        <v>2735419.5747742499</v>
      </c>
      <c r="L3" s="101">
        <f t="shared" si="0"/>
        <v>3008961.5322516751</v>
      </c>
      <c r="M3" s="101">
        <f t="shared" si="0"/>
        <v>3099230.3782192254</v>
      </c>
    </row>
    <row r="4" spans="1:13">
      <c r="A4" s="10" t="s">
        <v>63</v>
      </c>
      <c r="B4" s="98">
        <f>B5/B3</f>
        <v>5.3959215896337405E-2</v>
      </c>
      <c r="C4" s="98">
        <f>B4*(1+'Input Sheet(assumtion)'!$D$39-1)/(1+'Input Sheet(assumtion)'!$D$39)+$M$4*1/(1+'Input Sheet(assumtion)'!$D$39)</f>
        <v>0.14878913593473095</v>
      </c>
      <c r="D4" s="98">
        <f>C4*(1+'Input Sheet(assumtion)'!$D$39-1)/(1+'Input Sheet(assumtion)'!$D$39)+$M$4*1/(1+'Input Sheet(assumtion)'!$D$39)</f>
        <v>0.20849686336631207</v>
      </c>
      <c r="E4" s="98">
        <f>D4*(1+'Input Sheet(assumtion)'!$D$39-1)/(1+'Input Sheet(assumtion)'!$D$39)+$M$4*1/(1+'Input Sheet(assumtion)'!$D$39)</f>
        <v>0.24609061767508533</v>
      </c>
      <c r="F4" s="98">
        <f>E4*(1+'Input Sheet(assumtion)'!$D$39-1)/(1+'Input Sheet(assumtion)'!$D$39)+$M$4*1/(1+'Input Sheet(assumtion)'!$D$39)</f>
        <v>0.26976075927690557</v>
      </c>
      <c r="G4" s="98">
        <f>F4*(1+'Input Sheet(assumtion)'!$D$39-1)/(1+'Input Sheet(assumtion)'!$D$39)+$M$4*1/(1+'Input Sheet(assumtion)'!$D$39)</f>
        <v>0.28466418176694053</v>
      </c>
      <c r="H4" s="98">
        <f>G4*(1+'Input Sheet(assumtion)'!$D$39-1)/(1+'Input Sheet(assumtion)'!$D$39)+$M$4*1/(1+'Input Sheet(assumtion)'!$D$39)</f>
        <v>0.29404781814955511</v>
      </c>
      <c r="I4" s="98">
        <f>H4*(1+'Input Sheet(assumtion)'!$D$39-1)/(1+'Input Sheet(assumtion)'!$D$39)+$M$4*1/(1+'Input Sheet(assumtion)'!$D$39)</f>
        <v>0.29995603364971984</v>
      </c>
      <c r="J4" s="98">
        <f>I4*(1+'Input Sheet(assumtion)'!$D$39-1)/(1+'Input Sheet(assumtion)'!$D$39)+$M$4*1/(1+'Input Sheet(assumtion)'!$D$39)</f>
        <v>0.3036760211868606</v>
      </c>
      <c r="K4" s="98">
        <f>J4*(1+'Input Sheet(assumtion)'!$D$39-1)/(1+'Input Sheet(assumtion)'!$D$39)+$M$4*1/(1+'Input Sheet(assumtion)'!$D$39)</f>
        <v>0.3060182355620974</v>
      </c>
      <c r="L4" s="98">
        <f>K4*(1+'Input Sheet(assumtion)'!$D$39-1)/(1+'Input Sheet(assumtion)'!$D$39)+$M$4*1/(1+'Input Sheet(assumtion)'!$D$39)</f>
        <v>0.30749296313169094</v>
      </c>
      <c r="M4" s="63">
        <f>'Input Sheet(assumtion)'!C39</f>
        <v>0.31</v>
      </c>
    </row>
    <row r="5" spans="1:13">
      <c r="A5" s="10" t="s">
        <v>64</v>
      </c>
      <c r="B5" s="100">
        <f>IF('Input Sheet(assumtion)'!D20="Yes",(IF('Input Sheet(assumtion)'!D21="Yes",(IF('Input Sheet(assumtion)'!D22="Yes",'Input Sheet(assumtion)'!B4+'Operating Leases'!F34+'R&amp;D'!D39+'Other Expenses to Capitalize'!D39,'Input Sheet(assumtion)'!B4+'Operating Leases'!F34+'R&amp;D'!D39)),(IF('Input Sheet(assumtion)'!D22="Yes",'Input Sheet(assumtion)'!B4+'Operating Leases'!F34+'Other Expenses to Capitalize'!D39,'Input Sheet(assumtion)'!B4+'Operating Leases'!F34)))),(IF('Input Sheet(assumtion)'!D21="Yes",(IF('Input Sheet(assumtion)'!D22="Yes",'Input Sheet(assumtion)'!B4+'R&amp;D'!D39+'Other Expenses to Capitalize'!D39,'Input Sheet(assumtion)'!B4+'R&amp;D'!D39)),IF('Input Sheet(assumtion)'!D22="Yes",'Input Sheet(assumtion)'!B4+'Other Expenses to Capitalize'!D39,'Input Sheet(assumtion)'!B4))))</f>
        <v>9114.7907492093145</v>
      </c>
      <c r="C5" s="101">
        <f>C4*C3</f>
        <v>42726.88343156108</v>
      </c>
      <c r="D5" s="101">
        <f t="shared" ref="D5:M5" si="1">D4*D3</f>
        <v>92802.829571171649</v>
      </c>
      <c r="E5" s="101">
        <f t="shared" si="1"/>
        <v>158827.15288627334</v>
      </c>
      <c r="F5" s="101">
        <f t="shared" si="1"/>
        <v>243745.44330715944</v>
      </c>
      <c r="G5" s="101">
        <f t="shared" si="1"/>
        <v>347235.66334108554</v>
      </c>
      <c r="H5" s="101">
        <f t="shared" si="1"/>
        <v>466286.46822374035</v>
      </c>
      <c r="I5" s="101">
        <f t="shared" si="1"/>
        <v>594569.27972252702</v>
      </c>
      <c r="J5" s="101">
        <f t="shared" si="1"/>
        <v>722331.59369052027</v>
      </c>
      <c r="K5" s="101">
        <f t="shared" si="1"/>
        <v>837088.27179443871</v>
      </c>
      <c r="L5" s="101">
        <f t="shared" si="1"/>
        <v>925234.49750134069</v>
      </c>
      <c r="M5" s="101">
        <f t="shared" si="1"/>
        <v>960761.41724795988</v>
      </c>
    </row>
    <row r="6" spans="1:13">
      <c r="A6" s="10" t="s">
        <v>65</v>
      </c>
      <c r="B6" s="101">
        <f>IF(B5&lt;0,0,IF(B12&gt;B5,0,(B5-B12)*'Input Sheet(assumtion)'!$B$17))</f>
        <v>0</v>
      </c>
      <c r="C6" s="101">
        <f>IF(C5&lt;0,0,IF(B12&gt;C5,0,(C5-B12)*'Input Sheet(assumtion)'!$B$17))</f>
        <v>0</v>
      </c>
      <c r="D6" s="101">
        <f>IF(D5&lt;0,0,IF(C12&gt;D5,0,(D5-C12)*'Input Sheet(assumtion)'!$B$17))</f>
        <v>0</v>
      </c>
      <c r="E6" s="101">
        <f>IF(E5&lt;0,0,IF(D12&gt;E5,0,(E5-D12)*'Input Sheet(assumtion)'!$B$17))</f>
        <v>0</v>
      </c>
      <c r="F6" s="101">
        <f>IF(F5&lt;0,0,IF(E12&gt;F5,0,(F5-E12)*'Input Sheet(assumtion)'!$B$17))</f>
        <v>0</v>
      </c>
      <c r="G6" s="101">
        <f>IF(G5&lt;0,0,IF(F12&gt;G5,0,(G5-F12)*'Input Sheet(assumtion)'!$B$17))</f>
        <v>0</v>
      </c>
      <c r="H6" s="101">
        <f>IF(H5&lt;0,0,IF(G12&gt;H5,0,(H5-G12)*'Input Sheet(assumtion)'!$B$17))</f>
        <v>96332.132559808189</v>
      </c>
      <c r="I6" s="101">
        <f>IF(I5&lt;0,0,IF(H12&gt;I5,0,(I5-H12)*'Input Sheet(assumtion)'!$B$17))</f>
        <v>124859.54874173067</v>
      </c>
      <c r="J6" s="101">
        <f>IF(J5&lt;0,0,IF(I12&gt;J5,0,(J5-I12)*'Input Sheet(assumtion)'!$B$17))</f>
        <v>151689.63467500926</v>
      </c>
      <c r="K6" s="101">
        <f>IF(K5&lt;0,0,IF(J12&gt;K5,0,(K5-J12)*'Input Sheet(assumtion)'!$B$17))</f>
        <v>175788.53707683212</v>
      </c>
      <c r="L6" s="101">
        <f>IF(L5&lt;0,0,IF(K12&gt;L5,0,(L5-K12)*'Input Sheet(assumtion)'!$B$17))</f>
        <v>194299.24447528154</v>
      </c>
      <c r="M6" s="101">
        <f>M5*'Input Sheet(assumtion)'!$B$17</f>
        <v>201759.89762207156</v>
      </c>
    </row>
    <row r="7" spans="1:13">
      <c r="A7" s="10" t="s">
        <v>66</v>
      </c>
      <c r="B7" s="100">
        <f>B5-B6</f>
        <v>9114.7907492093145</v>
      </c>
      <c r="C7" s="100">
        <f>C5-C6</f>
        <v>42726.88343156108</v>
      </c>
      <c r="D7" s="100">
        <f t="shared" ref="D7:M7" si="2">D5-D6</f>
        <v>92802.829571171649</v>
      </c>
      <c r="E7" s="100">
        <f t="shared" si="2"/>
        <v>158827.15288627334</v>
      </c>
      <c r="F7" s="100">
        <f t="shared" si="2"/>
        <v>243745.44330715944</v>
      </c>
      <c r="G7" s="100">
        <f t="shared" si="2"/>
        <v>347235.66334108554</v>
      </c>
      <c r="H7" s="100">
        <f t="shared" si="2"/>
        <v>369954.33566393214</v>
      </c>
      <c r="I7" s="100">
        <f t="shared" si="2"/>
        <v>469709.73098079633</v>
      </c>
      <c r="J7" s="100">
        <f t="shared" si="2"/>
        <v>570641.95901551098</v>
      </c>
      <c r="K7" s="100">
        <f t="shared" si="2"/>
        <v>661299.73471760657</v>
      </c>
      <c r="L7" s="100">
        <f t="shared" si="2"/>
        <v>730935.25302605913</v>
      </c>
      <c r="M7" s="100">
        <f t="shared" si="2"/>
        <v>759001.51962588832</v>
      </c>
    </row>
    <row r="8" spans="1:13">
      <c r="A8" s="10" t="s">
        <v>67</v>
      </c>
      <c r="B8" s="100">
        <f>IF('Input Sheet(assumtion)'!D21="Yes",IF('Input Sheet(assumtion)'!D22="Yes",'Input Sheet(assumtion)'!B7+'R&amp;D'!D37+'Other Expenses to Capitalize'!D37,'Input Sheet(assumtion)'!B7+'R&amp;D'!D37),IF('Input Sheet(assumtion)'!D22="Yes",'Input Sheet(assumtion)'!B7+'Other Expenses to Capitalize'!D37,'Input Sheet(assumtion)'!B7))</f>
        <v>100261.33333333333</v>
      </c>
      <c r="C8" s="101">
        <f>B8*(1+F2)</f>
        <v>140365.86666666664</v>
      </c>
      <c r="D8" s="101">
        <f t="shared" ref="D8:J8" si="3">C8*(1+G2)</f>
        <v>189493.91999999998</v>
      </c>
      <c r="E8" s="101">
        <f t="shared" si="3"/>
        <v>246342.09599999999</v>
      </c>
      <c r="F8" s="101">
        <f t="shared" si="3"/>
        <v>307927.62</v>
      </c>
      <c r="G8" s="101">
        <f t="shared" si="3"/>
        <v>369513.14399999997</v>
      </c>
      <c r="H8" s="101">
        <f t="shared" si="3"/>
        <v>424940.11559999996</v>
      </c>
      <c r="I8" s="101">
        <f t="shared" si="3"/>
        <v>467434.12715999997</v>
      </c>
      <c r="J8" s="101">
        <f t="shared" si="3"/>
        <v>481457.1509748</v>
      </c>
      <c r="K8" s="101">
        <f>J8*(1+M2)</f>
        <v>495900.86550404399</v>
      </c>
      <c r="L8" s="101">
        <f>K8*(1+M2)</f>
        <v>510777.89146916533</v>
      </c>
      <c r="M8" s="101">
        <f>L8*(1+M2)</f>
        <v>526101.22821324028</v>
      </c>
    </row>
    <row r="9" spans="1:13">
      <c r="A9" s="10" t="s">
        <v>68</v>
      </c>
      <c r="B9" s="100">
        <f>IF('Input Sheet(assumtion)'!D21="Yes",IF('Input Sheet(assumtion)'!D22="Yes",'Input Sheet(assumtion)'!B6+'R&amp;D'!F7+'Other Expenses to Capitalize'!F7,'Input Sheet(assumtion)'!B6+'R&amp;D'!F7),IF('Input Sheet(assumtion)'!D22="Yes",'Input Sheet(assumtion)'!B6+'Other Expenses to Capitalize'!F7,'Input Sheet(assumtion)'!B6))</f>
        <v>125263</v>
      </c>
      <c r="C9" s="101">
        <f>IF('Input Sheet(assumtion)'!$E$34=1,DCFValuation!B9*(1+DCFValuation!C2),IF('Input Sheet(assumtion)'!$E$34=2,B9*(1+E2),(1/'Input Sheet(assumtion)'!$E$35)*(DCFValuation!C3-DCFValuation!B3)+C8-C10))</f>
        <v>218176.10471693985</v>
      </c>
      <c r="D9" s="101">
        <f>IF('Input Sheet(assumtion)'!$E$34=1,DCFValuation!C9*(1+DCFValuation!D2),IF('Input Sheet(assumtion)'!$E$34=2,C9*(1+F2),(1/'Input Sheet(assumtion)'!$E$35)*(DCFValuation!D3-DCFValuation!C3)+D8-D10))</f>
        <v>293426.16653857921</v>
      </c>
      <c r="E9" s="101">
        <f>IF('Input Sheet(assumtion)'!$E$34=1,DCFValuation!D9*(1+DCFValuation!E2),IF('Input Sheet(assumtion)'!$E$34=2,D9*(1+G2),(1/'Input Sheet(assumtion)'!$E$35)*(DCFValuation!E3-DCFValuation!D3)+E8-E10))</f>
        <v>378147.08138301631</v>
      </c>
      <c r="F9" s="101">
        <f>IF('Input Sheet(assumtion)'!$E$34=1,DCFValuation!E9*(1+DCFValuation!F2),IF('Input Sheet(assumtion)'!$E$34=2,E9*(1+H2),(1/'Input Sheet(assumtion)'!$E$35)*(DCFValuation!F3-DCFValuation!E3)+F8-F10))</f>
        <v>477809.60116033221</v>
      </c>
      <c r="G9" s="101">
        <f>IF('Input Sheet(assumtion)'!$E$34=1,DCFValuation!F9*(1+DCFValuation!G2),IF('Input Sheet(assumtion)'!$E$34=2,F9*(1+I2),(1/'Input Sheet(assumtion)'!$E$35)*(DCFValuation!G3-DCFValuation!F3)+G8-G10))</f>
        <v>577618.57092140708</v>
      </c>
      <c r="H9" s="101">
        <f>IF('Input Sheet(assumtion)'!$E$34=1,DCFValuation!G9*(1+DCFValuation!H2),IF('Input Sheet(assumtion)'!$E$34=2,G9*(1+J2),(1/'Input Sheet(assumtion)'!$E$35)*(DCFValuation!H3-DCFValuation!G3)+H8-H10))</f>
        <v>665747.82389477093</v>
      </c>
      <c r="I9" s="101">
        <f>IF('Input Sheet(assumtion)'!$E$34=1,DCFValuation!H9*(1+DCFValuation!I2),IF('Input Sheet(assumtion)'!$E$34=2,H9*(1+K2),(1/'Input Sheet(assumtion)'!$E$35)*(DCFValuation!I3-DCFValuation!H3)+I8-I10))</f>
        <v>728309.14447933517</v>
      </c>
      <c r="J9" s="101">
        <f>IF('Input Sheet(assumtion)'!$E$34=1,DCFValuation!I9*(1+DCFValuation!J2),IF('Input Sheet(assumtion)'!$E$34=2,I9*(1+L2),(1/'Input Sheet(assumtion)'!$E$35)*(DCFValuation!J3-DCFValuation!I3)+J8-J10))</f>
        <v>742332.16829413513</v>
      </c>
      <c r="K9" s="101">
        <f>IF('Input Sheet(assumtion)'!$E$34=1,DCFValuation!J9*(1+DCFValuation!K2),IF('Input Sheet(assumtion)'!$E$34=2,J9*(1+M2),(1/'Input Sheet(assumtion)'!$E$35)*(DCFValuation!K3-DCFValuation!J3)+K8-K10))</f>
        <v>730688.38109144557</v>
      </c>
      <c r="L9" s="101">
        <f>IF('Input Sheet(assumtion)'!$E$34=1,DCFValuation!K9*(1+DCFValuation!L2),IF('Input Sheet(assumtion)'!$E$34=2,K9*(1+N2),(1/'Input Sheet(assumtion)'!$E$35)*(DCFValuation!L3-DCFValuation!K3)+L8-L10))</f>
        <v>690781.65341950674</v>
      </c>
      <c r="M9" s="101">
        <f>('Input Sheet(assumtion)'!C38/'Input Sheet(assumtion)'!C43)*DCFValuation!M7+DCFValuation!M8-DCFValuation!M10</f>
        <v>586775.33273161144</v>
      </c>
    </row>
    <row r="10" spans="1:13">
      <c r="A10" s="10" t="s">
        <v>69</v>
      </c>
      <c r="B10" s="100">
        <f>'Input Sheet(assumtion)'!B10-'Input Sheet(assumtion)'!C10</f>
        <v>19362</v>
      </c>
      <c r="C10" s="101">
        <f>IF('Input Sheet(assumtion)'!$E$32="Yes",('Input Sheet(assumtion)'!$B$10/'Input Sheet(assumtion)'!$B$8)*(DCFValuation!C3-DCFValuation!B3),'Input Sheet(assumtion)'!$E$33*(DCFValuation!C3-DCFValuation!B3))</f>
        <v>-13196.030400000001</v>
      </c>
      <c r="D10" s="101">
        <f>IF('Input Sheet(assumtion)'!$E$32="Yes",('Input Sheet(assumtion)'!$B$10/'Input Sheet(assumtion)'!$B$8)*(DCFValuation!D3-DCFValuation!C3),'Input Sheet(assumtion)'!$E$33*(DCFValuation!D3-DCFValuation!C3))</f>
        <v>-17626.126320000003</v>
      </c>
      <c r="E10" s="101">
        <f>IF('Input Sheet(assumtion)'!$E$32="Yes",('Input Sheet(assumtion)'!$B$10/'Input Sheet(assumtion)'!$B$8)*(DCFValuation!E3-DCFValuation!D3),'Input Sheet(assumtion)'!$E$33*(DCFValuation!E3-DCFValuation!D3))</f>
        <v>-22353.132923999998</v>
      </c>
      <c r="F10" s="101">
        <f>IF('Input Sheet(assumtion)'!$E$32="Yes",('Input Sheet(assumtion)'!$B$10/'Input Sheet(assumtion)'!$B$8)*(DCFValuation!F3-DCFValuation!E3),'Input Sheet(assumtion)'!$E$33*(DCFValuation!F3-DCFValuation!E3))</f>
        <v>-28810.704657599999</v>
      </c>
      <c r="G10" s="101">
        <f>IF('Input Sheet(assumtion)'!$E$32="Yes",('Input Sheet(assumtion)'!$B$10/'Input Sheet(assumtion)'!$B$8)*(DCFValuation!G3-DCFValuation!F3),'Input Sheet(assumtion)'!$E$33*(DCFValuation!G3-DCFValuation!F3))</f>
        <v>-35293.113205560017</v>
      </c>
      <c r="H10" s="101">
        <f>IF('Input Sheet(assumtion)'!$E$32="Yes",('Input Sheet(assumtion)'!$B$10/'Input Sheet(assumtion)'!$B$8)*(DCFValuation!H3-DCFValuation!G3),'Input Sheet(assumtion)'!$E$33*(DCFValuation!H3-DCFValuation!G3))</f>
        <v>-40839.173852148007</v>
      </c>
      <c r="I10" s="101">
        <f>IF('Input Sheet(assumtion)'!$E$32="Yes",('Input Sheet(assumtion)'!$B$10/'Input Sheet(assumtion)'!$B$8)*(DCFValuation!I3-DCFValuation!H3),'Input Sheet(assumtion)'!$E$33*(DCFValuation!I3-DCFValuation!H3))</f>
        <v>-44242.438339826993</v>
      </c>
      <c r="J10" s="101">
        <f>IF('Input Sheet(assumtion)'!$E$32="Yes",('Input Sheet(assumtion)'!$B$10/'Input Sheet(assumtion)'!$B$8)*(DCFValuation!J3-DCFValuation!I3),'Input Sheet(assumtion)'!$E$33*(DCFValuation!J3-DCFValuation!I3))</f>
        <v>-44242.438339826993</v>
      </c>
      <c r="K10" s="101">
        <f>IF('Input Sheet(assumtion)'!$E$32="Yes",('Input Sheet(assumtion)'!$B$10/'Input Sheet(assumtion)'!$B$8)*(DCFValuation!K3-DCFValuation!J3),'Input Sheet(assumtion)'!$E$33*(DCFValuation!K3-DCFValuation!J3))</f>
        <v>-39818.194505844287</v>
      </c>
      <c r="L10" s="101">
        <f>IF('Input Sheet(assumtion)'!$E$32="Yes",('Input Sheet(assumtion)'!$B$10/'Input Sheet(assumtion)'!$B$8)*(DCFValuation!L3-DCFValuation!K3),'Input Sheet(assumtion)'!$E$33*(DCFValuation!L3-DCFValuation!K3))</f>
        <v>-30527.282454480657</v>
      </c>
      <c r="M10" s="101">
        <f>IF('Input Sheet(assumtion)'!$E$32="Yes",('Input Sheet(assumtion)'!$B$10/'Input Sheet(assumtion)'!$B$8)*(DCFValuation!M3-DCFValuation!L3),'Input Sheet(assumtion)'!$E$33*(DCFValuation!M3-DCFValuation!L3))</f>
        <v>-10074.003209978613</v>
      </c>
    </row>
    <row r="11" spans="1:13">
      <c r="A11" s="10" t="s">
        <v>70</v>
      </c>
      <c r="B11" s="100">
        <f>B7+B8-B9-B10</f>
        <v>-35248.875917457364</v>
      </c>
      <c r="C11" s="100">
        <f>C7+C8-C9-C10</f>
        <v>-21887.324218712121</v>
      </c>
      <c r="D11" s="100">
        <f t="shared" ref="D11:M11" si="4">D7+D8-D9-D10</f>
        <v>6496.7093525924356</v>
      </c>
      <c r="E11" s="100">
        <f t="shared" si="4"/>
        <v>49375.300427257047</v>
      </c>
      <c r="F11" s="100">
        <f t="shared" si="4"/>
        <v>102674.16680442725</v>
      </c>
      <c r="G11" s="100">
        <f t="shared" si="4"/>
        <v>174423.34962523845</v>
      </c>
      <c r="H11" s="100">
        <f t="shared" si="4"/>
        <v>169985.80122130911</v>
      </c>
      <c r="I11" s="100">
        <f t="shared" si="4"/>
        <v>253077.15200128814</v>
      </c>
      <c r="J11" s="100">
        <f t="shared" si="4"/>
        <v>354009.38003600272</v>
      </c>
      <c r="K11" s="100">
        <f t="shared" si="4"/>
        <v>466330.41363604937</v>
      </c>
      <c r="L11" s="100">
        <f t="shared" si="4"/>
        <v>581458.77353019849</v>
      </c>
      <c r="M11" s="100">
        <f t="shared" si="4"/>
        <v>708401.41831749573</v>
      </c>
    </row>
    <row r="12" spans="1:13">
      <c r="A12" s="10" t="s">
        <v>71</v>
      </c>
      <c r="B12" s="100">
        <f>'Input Sheet(assumtion)'!B16</f>
        <v>892900</v>
      </c>
      <c r="C12" s="100">
        <f>IF(C5&lt;B12,B12-C5,0)</f>
        <v>850173.11656843894</v>
      </c>
      <c r="D12" s="100">
        <f t="shared" ref="D12:M12" si="5">IF(D5&lt;C12,C12-D5,0)</f>
        <v>757370.28699726728</v>
      </c>
      <c r="E12" s="100">
        <f t="shared" si="5"/>
        <v>598543.13411099394</v>
      </c>
      <c r="F12" s="100">
        <f t="shared" si="5"/>
        <v>354797.69080383447</v>
      </c>
      <c r="G12" s="100">
        <f t="shared" si="5"/>
        <v>7562.0274627489271</v>
      </c>
      <c r="H12" s="100">
        <f t="shared" si="5"/>
        <v>0</v>
      </c>
      <c r="I12" s="100">
        <f t="shared" si="5"/>
        <v>0</v>
      </c>
      <c r="J12" s="100">
        <f t="shared" si="5"/>
        <v>0</v>
      </c>
      <c r="K12" s="100">
        <f t="shared" si="5"/>
        <v>0</v>
      </c>
      <c r="L12" s="100">
        <f t="shared" si="5"/>
        <v>0</v>
      </c>
      <c r="M12" s="100">
        <f t="shared" si="5"/>
        <v>0</v>
      </c>
    </row>
    <row r="13" spans="1:13">
      <c r="A13" s="102" t="s">
        <v>72</v>
      </c>
      <c r="B13" s="103"/>
      <c r="C13" s="103"/>
      <c r="D13" s="103"/>
      <c r="E13" s="103"/>
      <c r="F13" s="103"/>
      <c r="G13" s="103"/>
      <c r="H13" s="103"/>
      <c r="I13" s="103"/>
      <c r="J13" s="103"/>
      <c r="K13" s="103"/>
      <c r="L13" s="104"/>
      <c r="M13" s="101">
        <f>IF(M12&gt;0,(M11/(M22-M2))+M12*'Input Sheet(assumtion)'!B17,M11/(M22-M2))</f>
        <v>10904522.786735665</v>
      </c>
    </row>
    <row r="15" spans="1:13">
      <c r="A15" s="9" t="s">
        <v>73</v>
      </c>
    </row>
    <row r="16" spans="1:13">
      <c r="A16" s="10" t="s">
        <v>74</v>
      </c>
      <c r="B16" s="98">
        <f>B6/B5</f>
        <v>0</v>
      </c>
      <c r="C16" s="98">
        <f t="shared" ref="C16:M16" si="6">C6/C5</f>
        <v>0</v>
      </c>
      <c r="D16" s="98">
        <f t="shared" si="6"/>
        <v>0</v>
      </c>
      <c r="E16" s="98">
        <f t="shared" si="6"/>
        <v>0</v>
      </c>
      <c r="F16" s="98">
        <f t="shared" si="6"/>
        <v>0</v>
      </c>
      <c r="G16" s="98">
        <f t="shared" si="6"/>
        <v>0</v>
      </c>
      <c r="H16" s="98">
        <f t="shared" si="6"/>
        <v>0.20659431299126765</v>
      </c>
      <c r="I16" s="98">
        <f t="shared" si="6"/>
        <v>0.21</v>
      </c>
      <c r="J16" s="98">
        <f t="shared" si="6"/>
        <v>0.21000000000000002</v>
      </c>
      <c r="K16" s="98">
        <f t="shared" si="6"/>
        <v>0.21</v>
      </c>
      <c r="L16" s="98">
        <f t="shared" si="6"/>
        <v>0.21</v>
      </c>
      <c r="M16" s="98">
        <f t="shared" si="6"/>
        <v>0.21</v>
      </c>
    </row>
    <row r="17" spans="1:13">
      <c r="A17" s="10" t="s">
        <v>75</v>
      </c>
      <c r="B17" s="98">
        <f>IF('Input Sheet(assumtion)'!D20="Yes",('Input Sheet(assumtion)'!B27+'Operating Leases'!C30)/('Input Sheet(assumtion)'!B27+'Operating Leases'!C30+'Input Sheet(assumtion)'!D46*'Input Sheet(assumtion)'!D47),'Input Sheet(assumtion)'!B27/('Input Sheet(assumtion)'!B27+'Input Sheet(assumtion)'!D46*'Input Sheet(assumtion)'!D47))</f>
        <v>2.0896429925235812E-3</v>
      </c>
      <c r="C17" s="63">
        <f t="shared" ref="C17:G18" si="7">B17</f>
        <v>2.0896429925235812E-3</v>
      </c>
      <c r="D17" s="63">
        <f t="shared" si="7"/>
        <v>2.0896429925235812E-3</v>
      </c>
      <c r="E17" s="63">
        <f t="shared" si="7"/>
        <v>2.0896429925235812E-3</v>
      </c>
      <c r="F17" s="63">
        <f t="shared" si="7"/>
        <v>2.0896429925235812E-3</v>
      </c>
      <c r="G17" s="63">
        <f t="shared" si="7"/>
        <v>2.0896429925235812E-3</v>
      </c>
      <c r="H17" s="98">
        <f>$G$17+($M$17-$G$17)/(10-H1+1)</f>
        <v>1.3671714394018866E-2</v>
      </c>
      <c r="I17" s="98">
        <f>$G$17+($M$17-$G$17)/(10-I1+1)</f>
        <v>1.6567232244392684E-2</v>
      </c>
      <c r="J17" s="98">
        <f>$G$17+($M$17-$G$17)/(10-J1+1)</f>
        <v>2.1393095328349054E-2</v>
      </c>
      <c r="K17" s="98">
        <f>$G$17+($M$17-$G$17)/(10-K1+1)</f>
        <v>3.1044821496261789E-2</v>
      </c>
      <c r="L17" s="98">
        <f>$G$17+($M$17-$G$17)/(10-L1+1)</f>
        <v>0.06</v>
      </c>
      <c r="M17" s="63">
        <f>'Input Sheet(assumtion)'!C40</f>
        <v>0.06</v>
      </c>
    </row>
    <row r="18" spans="1:13">
      <c r="A18" s="10" t="s">
        <v>76</v>
      </c>
      <c r="B18" s="105">
        <f>'Input Sheet(assumtion)'!B25</f>
        <v>1.3013238959152076</v>
      </c>
      <c r="C18" s="105">
        <f t="shared" si="7"/>
        <v>1.3013238959152076</v>
      </c>
      <c r="D18" s="105">
        <f t="shared" si="7"/>
        <v>1.3013238959152076</v>
      </c>
      <c r="E18" s="105">
        <f t="shared" si="7"/>
        <v>1.3013238959152076</v>
      </c>
      <c r="F18" s="105">
        <f t="shared" si="7"/>
        <v>1.3013238959152076</v>
      </c>
      <c r="G18" s="105">
        <f t="shared" si="7"/>
        <v>1.3013238959152076</v>
      </c>
      <c r="H18" s="106">
        <f>$G$18+(($M$18-$G$18)/5)*(H1-5)</f>
        <v>1.2610591167321661</v>
      </c>
      <c r="I18" s="106">
        <f>$G$18+(($M$18-$G$18)/5)*(I1-5)</f>
        <v>1.2207943375491246</v>
      </c>
      <c r="J18" s="106">
        <f>$G$18+(($M$18-$G$18)/5)*(J1-5)</f>
        <v>1.1805295583660831</v>
      </c>
      <c r="K18" s="106">
        <f>$G$18+(($M$18-$G$18)/5)*(K1-5)</f>
        <v>1.1402647791830416</v>
      </c>
      <c r="L18" s="106">
        <f>$G$18+(($M$18-$G$18)/5)*(L1-5)</f>
        <v>1.1000000000000001</v>
      </c>
      <c r="M18" s="107">
        <f>'Input Sheet(assumtion)'!C41</f>
        <v>1.1000000000000001</v>
      </c>
    </row>
    <row r="19" spans="1:13">
      <c r="A19" s="10" t="s">
        <v>77</v>
      </c>
      <c r="B19" s="63">
        <f>'Input Sheet(assumtion)'!$D$55+DCFValuation!B18*'Input Sheet(assumtion)'!$D$56</f>
        <v>0.10806619479576038</v>
      </c>
      <c r="C19" s="63">
        <f>'Input Sheet(assumtion)'!$D$55+DCFValuation!C18*'Input Sheet(assumtion)'!$D$56</f>
        <v>0.10806619479576038</v>
      </c>
      <c r="D19" s="63">
        <f>'Input Sheet(assumtion)'!$D$55+DCFValuation!D18*'Input Sheet(assumtion)'!$D$56</f>
        <v>0.10806619479576038</v>
      </c>
      <c r="E19" s="63">
        <f>'Input Sheet(assumtion)'!$D$55+DCFValuation!E18*'Input Sheet(assumtion)'!$D$56</f>
        <v>0.10806619479576038</v>
      </c>
      <c r="F19" s="63">
        <f>'Input Sheet(assumtion)'!$D$55+DCFValuation!F18*'Input Sheet(assumtion)'!$D$56</f>
        <v>0.10806619479576038</v>
      </c>
      <c r="G19" s="63">
        <f>'Input Sheet(assumtion)'!$D$55+DCFValuation!G18*'Input Sheet(assumtion)'!$D$56</f>
        <v>0.10806619479576038</v>
      </c>
      <c r="H19" s="63">
        <f>'Input Sheet(assumtion)'!$D$55+DCFValuation!H18*'Input Sheet(assumtion)'!$D$56</f>
        <v>0.1060529558366083</v>
      </c>
      <c r="I19" s="63">
        <f>'Input Sheet(assumtion)'!$D$55+DCFValuation!I18*'Input Sheet(assumtion)'!$D$56</f>
        <v>0.10403971687745622</v>
      </c>
      <c r="J19" s="63">
        <f>'Input Sheet(assumtion)'!$D$55+DCFValuation!J18*'Input Sheet(assumtion)'!$D$56</f>
        <v>0.10202647791830416</v>
      </c>
      <c r="K19" s="63">
        <f>'Input Sheet(assumtion)'!$D$55+DCFValuation!K18*'Input Sheet(assumtion)'!$D$56</f>
        <v>0.10001323895915208</v>
      </c>
      <c r="L19" s="63">
        <f>'Input Sheet(assumtion)'!$D$55+DCFValuation!L18*'Input Sheet(assumtion)'!$D$56</f>
        <v>9.8000000000000004E-2</v>
      </c>
      <c r="M19" s="63">
        <f>'Input Sheet(assumtion)'!$D$55+DCFValuation!M18*'Input Sheet(assumtion)'!$D$56</f>
        <v>9.8000000000000004E-2</v>
      </c>
    </row>
    <row r="20" spans="1:13">
      <c r="A20" s="10" t="s">
        <v>78</v>
      </c>
      <c r="B20" s="63">
        <f>'Input Sheet(assumtion)'!B26</f>
        <v>7.2999999999999995E-2</v>
      </c>
      <c r="C20" s="98">
        <f>B20</f>
        <v>7.2999999999999995E-2</v>
      </c>
      <c r="D20" s="98">
        <f>C20</f>
        <v>7.2999999999999995E-2</v>
      </c>
      <c r="E20" s="98">
        <f>D20</f>
        <v>7.2999999999999995E-2</v>
      </c>
      <c r="F20" s="98">
        <f>E20</f>
        <v>7.2999999999999995E-2</v>
      </c>
      <c r="G20" s="98">
        <f>F20</f>
        <v>7.2999999999999995E-2</v>
      </c>
      <c r="H20" s="98">
        <f>$G$20+($M$20-$G$20)/(10-H1+1)</f>
        <v>7.039999999999999E-2</v>
      </c>
      <c r="I20" s="98">
        <f>$G$20+($M$20-$G$20)/(10-I1+1)</f>
        <v>6.9749999999999993E-2</v>
      </c>
      <c r="J20" s="98">
        <f>$G$20+($M$20-$G$20)/(10-J1+1)</f>
        <v>6.8666666666666668E-2</v>
      </c>
      <c r="K20" s="98">
        <f>$G$20+($M$20-$G$20)/(10-K1+1)</f>
        <v>6.6500000000000004E-2</v>
      </c>
      <c r="L20" s="98">
        <f>$G$20+($M$20-$G$20)/(10-L1+1)</f>
        <v>0.06</v>
      </c>
      <c r="M20" s="63">
        <f>'Input Sheet(assumtion)'!C42</f>
        <v>0.06</v>
      </c>
    </row>
    <row r="21" spans="1:13">
      <c r="A21" s="10" t="s">
        <v>79</v>
      </c>
      <c r="B21" s="63">
        <f>B20*(1-B16)</f>
        <v>7.2999999999999995E-2</v>
      </c>
      <c r="C21" s="63">
        <f t="shared" ref="C21:M21" si="8">C20*(1-C16)</f>
        <v>7.2999999999999995E-2</v>
      </c>
      <c r="D21" s="63">
        <f t="shared" si="8"/>
        <v>7.2999999999999995E-2</v>
      </c>
      <c r="E21" s="63">
        <f t="shared" si="8"/>
        <v>7.2999999999999995E-2</v>
      </c>
      <c r="F21" s="63">
        <f t="shared" si="8"/>
        <v>7.2999999999999995E-2</v>
      </c>
      <c r="G21" s="63">
        <f t="shared" si="8"/>
        <v>7.2999999999999995E-2</v>
      </c>
      <c r="H21" s="63">
        <f t="shared" si="8"/>
        <v>5.5855760365414751E-2</v>
      </c>
      <c r="I21" s="63">
        <f t="shared" si="8"/>
        <v>5.5102499999999999E-2</v>
      </c>
      <c r="J21" s="63">
        <f t="shared" si="8"/>
        <v>5.4246666666666672E-2</v>
      </c>
      <c r="K21" s="63">
        <f t="shared" si="8"/>
        <v>5.2535000000000005E-2</v>
      </c>
      <c r="L21" s="63">
        <f t="shared" si="8"/>
        <v>4.7399999999999998E-2</v>
      </c>
      <c r="M21" s="63">
        <f t="shared" si="8"/>
        <v>4.7399999999999998E-2</v>
      </c>
    </row>
    <row r="22" spans="1:13">
      <c r="A22" s="10" t="s">
        <v>80</v>
      </c>
      <c r="B22" s="98">
        <f>B19*(1-B17)+B21*B17</f>
        <v>0.10799291896753095</v>
      </c>
      <c r="C22" s="98">
        <f t="shared" ref="C22:M22" si="9">C19*(1-C17)+C21*C17</f>
        <v>0.10799291896753095</v>
      </c>
      <c r="D22" s="98">
        <f t="shared" si="9"/>
        <v>0.10799291896753095</v>
      </c>
      <c r="E22" s="98">
        <f t="shared" si="9"/>
        <v>0.10799291896753095</v>
      </c>
      <c r="F22" s="98">
        <f t="shared" si="9"/>
        <v>0.10799291896753095</v>
      </c>
      <c r="G22" s="98">
        <f t="shared" si="9"/>
        <v>0.10799291896753095</v>
      </c>
      <c r="H22" s="98">
        <f t="shared" si="9"/>
        <v>0.10536667411674541</v>
      </c>
      <c r="I22" s="98">
        <f t="shared" si="9"/>
        <v>0.1032289626400532</v>
      </c>
      <c r="J22" s="98">
        <f t="shared" si="9"/>
        <v>0.10100431986142734</v>
      </c>
      <c r="K22" s="98">
        <f t="shared" si="9"/>
        <v>9.8539285505708341E-2</v>
      </c>
      <c r="L22" s="98">
        <f t="shared" si="9"/>
        <v>9.4963999999999993E-2</v>
      </c>
      <c r="M22" s="98">
        <f t="shared" si="9"/>
        <v>9.4963999999999993E-2</v>
      </c>
    </row>
    <row r="24" spans="1:13">
      <c r="A24" s="9" t="s">
        <v>81</v>
      </c>
    </row>
    <row r="25" spans="1:13" s="12" customFormat="1">
      <c r="A25" s="108" t="s">
        <v>82</v>
      </c>
      <c r="B25" s="109">
        <f>IF('Input Sheet(assumtion)'!D21="Yes",(IF('Input Sheet(assumtion)'!D22="Yes",'Input Sheet(assumtion)'!B11+'Input Sheet(assumtion)'!B12+'R&amp;D'!D35+'Other Expenses to Capitalize'!D35,'Input Sheet(assumtion)'!B11+'Input Sheet(assumtion)'!B12+'R&amp;D'!D35)),(IF('Input Sheet(assumtion)'!D22="Yes",'Input Sheet(assumtion)'!B11+'Input Sheet(assumtion)'!B12++'Other Expenses to Capitalize'!D35,'Input Sheet(assumtion)'!B11+'Input Sheet(assumtion)'!B12)))</f>
        <v>626697</v>
      </c>
      <c r="C25" s="110">
        <f>B25+C9+C10-C8</f>
        <v>691311.20765027311</v>
      </c>
      <c r="D25" s="110">
        <f t="shared" ref="D25:M25" si="10">C25+D9+D10-D8</f>
        <v>777617.3278688523</v>
      </c>
      <c r="E25" s="110">
        <f t="shared" si="10"/>
        <v>887069.18032786867</v>
      </c>
      <c r="F25" s="110">
        <f t="shared" si="10"/>
        <v>1028140.4568306009</v>
      </c>
      <c r="G25" s="110">
        <f t="shared" si="10"/>
        <v>1200952.770546448</v>
      </c>
      <c r="H25" s="110">
        <f t="shared" si="10"/>
        <v>1400921.3049890709</v>
      </c>
      <c r="I25" s="110">
        <f t="shared" si="10"/>
        <v>1617553.8839685791</v>
      </c>
      <c r="J25" s="110">
        <f t="shared" si="10"/>
        <v>1834186.4629480871</v>
      </c>
      <c r="K25" s="110">
        <f t="shared" si="10"/>
        <v>2029155.7840296444</v>
      </c>
      <c r="L25" s="110">
        <f t="shared" si="10"/>
        <v>2178632.2635255051</v>
      </c>
      <c r="M25" s="110">
        <f t="shared" si="10"/>
        <v>2229232.3648338974</v>
      </c>
    </row>
    <row r="26" spans="1:13">
      <c r="A26" s="10" t="s">
        <v>83</v>
      </c>
      <c r="B26" s="111">
        <f>IF(B5&gt;0,(B9-B8+B10)/B7,"NMF")</f>
        <v>4.8672172392454662</v>
      </c>
      <c r="C26" s="111">
        <f t="shared" ref="C26:M26" si="11">IF(C5&gt;0,(C9-C8+C10)/C7,"NMF")</f>
        <v>1.5122611915697228</v>
      </c>
      <c r="D26" s="111">
        <f t="shared" si="11"/>
        <v>0.92999449065709772</v>
      </c>
      <c r="E26" s="111">
        <f t="shared" si="11"/>
        <v>0.68912557122640272</v>
      </c>
      <c r="F26" s="111">
        <f t="shared" si="11"/>
        <v>0.57876477438373752</v>
      </c>
      <c r="G26" s="111">
        <f t="shared" si="11"/>
        <v>0.49768019809098807</v>
      </c>
      <c r="H26" s="111">
        <f>$G$26+($M$26-$G$26)/(10-H1+1)</f>
        <v>0.41147749180612381</v>
      </c>
      <c r="I26" s="111">
        <f>$G$26+($M$26-$G$26)/(10-I1+1)</f>
        <v>0.38992681523490769</v>
      </c>
      <c r="J26" s="111">
        <f>$G$26+($M$26-$G$26)/(10-J1+1)</f>
        <v>0.35400902094954756</v>
      </c>
      <c r="K26" s="111">
        <f>$G$26+($M$26-$G$26)/(10-K1+1)</f>
        <v>0.28217343237882736</v>
      </c>
      <c r="L26" s="111">
        <f>$G$26+($M$26-$G$26)/(10-L1+1)</f>
        <v>6.6666666666666652E-2</v>
      </c>
      <c r="M26" s="111">
        <f t="shared" si="11"/>
        <v>6.6666666666666666E-2</v>
      </c>
    </row>
    <row r="27" spans="1:13">
      <c r="A27" s="10" t="s">
        <v>84</v>
      </c>
      <c r="B27" s="10"/>
      <c r="C27" s="107">
        <f>(C3-B3)/(C25-B25)</f>
        <v>1.8300000000000034</v>
      </c>
      <c r="D27" s="107">
        <f t="shared" ref="D27:M27" si="12">(D3-C3)/(D25-C25)</f>
        <v>1.830000000000001</v>
      </c>
      <c r="E27" s="107">
        <f t="shared" si="12"/>
        <v>1.8299999999999998</v>
      </c>
      <c r="F27" s="107">
        <f t="shared" si="12"/>
        <v>1.8300000000000005</v>
      </c>
      <c r="G27" s="107">
        <f t="shared" si="12"/>
        <v>1.8299999999999998</v>
      </c>
      <c r="H27" s="107">
        <f t="shared" si="12"/>
        <v>1.8300000000000007</v>
      </c>
      <c r="I27" s="107">
        <f t="shared" si="12"/>
        <v>1.8299999999999992</v>
      </c>
      <c r="J27" s="107">
        <f t="shared" si="12"/>
        <v>1.8300000000000012</v>
      </c>
      <c r="K27" s="107">
        <f t="shared" si="12"/>
        <v>1.83</v>
      </c>
      <c r="L27" s="107">
        <f t="shared" si="12"/>
        <v>1.8300000000000018</v>
      </c>
      <c r="M27" s="107">
        <f t="shared" si="12"/>
        <v>1.7839657161433116</v>
      </c>
    </row>
    <row r="28" spans="1:13">
      <c r="A28" s="10" t="s">
        <v>85</v>
      </c>
      <c r="B28" s="98"/>
      <c r="C28" s="98">
        <f>C7/B25</f>
        <v>6.8177896864930074E-2</v>
      </c>
      <c r="D28" s="98">
        <f t="shared" ref="D28:L28" si="13">D7/C25</f>
        <v>0.13424175471797009</v>
      </c>
      <c r="E28" s="98">
        <f t="shared" si="13"/>
        <v>0.20424847440264354</v>
      </c>
      <c r="F28" s="98">
        <f t="shared" si="13"/>
        <v>0.27477613777210586</v>
      </c>
      <c r="G28" s="98">
        <f t="shared" si="13"/>
        <v>0.33773173794900768</v>
      </c>
      <c r="H28" s="98">
        <f t="shared" si="13"/>
        <v>0.30805069502907967</v>
      </c>
      <c r="I28" s="98">
        <f t="shared" si="13"/>
        <v>0.33528630716659757</v>
      </c>
      <c r="J28" s="98">
        <f t="shared" si="13"/>
        <v>0.35278080357698655</v>
      </c>
      <c r="K28" s="98">
        <f t="shared" si="13"/>
        <v>0.36054117074591197</v>
      </c>
      <c r="L28" s="98">
        <f t="shared" si="13"/>
        <v>0.36021643029029293</v>
      </c>
      <c r="M28" s="98">
        <f>'Input Sheet(assumtion)'!C43</f>
        <v>0.45</v>
      </c>
    </row>
    <row r="30" spans="1:13">
      <c r="A30" s="9" t="s">
        <v>86</v>
      </c>
    </row>
    <row r="31" spans="1:13">
      <c r="A31" s="10" t="s">
        <v>87</v>
      </c>
      <c r="B31" s="10"/>
      <c r="C31" s="112">
        <f>(1+C22)</f>
        <v>1.107992918967531</v>
      </c>
      <c r="D31" s="10">
        <f>C31*(1+D22)</f>
        <v>1.2276483084821899</v>
      </c>
      <c r="E31" s="10">
        <f t="shared" ref="E31:L31" si="14">D31*(1+E22)</f>
        <v>1.3602256327807336</v>
      </c>
      <c r="F31" s="10">
        <f t="shared" si="14"/>
        <v>1.5071203693191819</v>
      </c>
      <c r="G31" s="10">
        <f t="shared" si="14"/>
        <v>1.6698786972373838</v>
      </c>
      <c r="H31" s="10">
        <f t="shared" si="14"/>
        <v>1.8458282617436905</v>
      </c>
      <c r="I31" s="10">
        <f t="shared" si="14"/>
        <v>2.0363711984151842</v>
      </c>
      <c r="J31" s="10">
        <f t="shared" si="14"/>
        <v>2.2420534862965096</v>
      </c>
      <c r="K31" s="10">
        <f t="shared" si="14"/>
        <v>2.4629838349017499</v>
      </c>
      <c r="L31" s="10">
        <f t="shared" si="14"/>
        <v>2.6968786317993598</v>
      </c>
    </row>
    <row r="32" spans="1:13">
      <c r="A32" s="10" t="s">
        <v>88</v>
      </c>
      <c r="B32" s="10"/>
      <c r="C32" s="73">
        <f>C11/C31</f>
        <v>-19754.028968982529</v>
      </c>
      <c r="D32" s="73">
        <f t="shared" ref="D32:L32" si="15">D11/D31</f>
        <v>5291.9955232330994</v>
      </c>
      <c r="E32" s="73">
        <f t="shared" si="15"/>
        <v>36299.34566540864</v>
      </c>
      <c r="F32" s="73">
        <f t="shared" si="15"/>
        <v>68126.056083236865</v>
      </c>
      <c r="G32" s="73">
        <f t="shared" si="15"/>
        <v>104452.70660306116</v>
      </c>
      <c r="H32" s="73">
        <f t="shared" si="15"/>
        <v>92091.883489057305</v>
      </c>
      <c r="I32" s="73">
        <f t="shared" si="15"/>
        <v>124278.49706293561</v>
      </c>
      <c r="J32" s="73">
        <f t="shared" si="15"/>
        <v>157895.15379526734</v>
      </c>
      <c r="K32" s="73">
        <f t="shared" si="15"/>
        <v>189335.55593337934</v>
      </c>
      <c r="L32" s="73">
        <f t="shared" si="15"/>
        <v>215604.35337138205</v>
      </c>
    </row>
    <row r="33" spans="1:12">
      <c r="A33" s="10" t="s">
        <v>89</v>
      </c>
      <c r="B33" s="10"/>
      <c r="C33" s="10"/>
      <c r="D33" s="10"/>
      <c r="E33" s="10"/>
      <c r="F33" s="10"/>
      <c r="G33" s="10"/>
      <c r="H33" s="10"/>
      <c r="I33" s="10"/>
      <c r="J33" s="10"/>
      <c r="K33" s="10"/>
      <c r="L33" s="73">
        <f>M13/L31</f>
        <v>4043386.5499761691</v>
      </c>
    </row>
    <row r="34" spans="1:12">
      <c r="C34" s="65"/>
      <c r="E34" s="70"/>
    </row>
    <row r="35" spans="1:12" s="9" customFormat="1">
      <c r="A35" s="9" t="s">
        <v>90</v>
      </c>
      <c r="D35" s="121"/>
    </row>
    <row r="36" spans="1:12">
      <c r="A36" t="s">
        <v>91</v>
      </c>
      <c r="D36" s="72">
        <f>SUM(C32:L32)</f>
        <v>973621.51855797879</v>
      </c>
    </row>
    <row r="37" spans="1:12">
      <c r="A37" t="s">
        <v>92</v>
      </c>
      <c r="D37" s="73">
        <f>L33</f>
        <v>4043386.5499761691</v>
      </c>
    </row>
    <row r="38" spans="1:12">
      <c r="A38" t="s">
        <v>93</v>
      </c>
      <c r="D38" s="72">
        <f>SUM(D36:D37)</f>
        <v>5017008.0685341479</v>
      </c>
      <c r="G38" s="115"/>
    </row>
    <row r="39" spans="1:12">
      <c r="A39" t="s">
        <v>94</v>
      </c>
      <c r="D39" s="68">
        <f>'Input Sheet(assumtion)'!B13+'Input Sheet(assumtion)'!B14</f>
        <v>248490</v>
      </c>
    </row>
    <row r="40" spans="1:12">
      <c r="A40" t="s">
        <v>95</v>
      </c>
      <c r="D40" s="72">
        <f>D38+D39</f>
        <v>5265498.0685341479</v>
      </c>
    </row>
    <row r="41" spans="1:12">
      <c r="A41" t="s">
        <v>96</v>
      </c>
      <c r="D41" s="73">
        <f>IF('Input Sheet(assumtion)'!D20="Yes",'Input Sheet(assumtion)'!B27+'Operating Leases'!C30,'Input Sheet(assumtion)'!B27)</f>
        <v>7150.3563488929722</v>
      </c>
    </row>
    <row r="42" spans="1:12">
      <c r="A42" t="s">
        <v>97</v>
      </c>
      <c r="D42" s="72">
        <f>D40-D41</f>
        <v>5258347.7121852553</v>
      </c>
    </row>
    <row r="43" spans="1:12">
      <c r="A43" t="s">
        <v>98</v>
      </c>
      <c r="D43" s="73">
        <f>IF('Input Sheet(assumtion)'!D48="Yes",Options!D27*(1-'Input Sheet(assumtion)'!B17),0)</f>
        <v>0</v>
      </c>
    </row>
    <row r="44" spans="1:12">
      <c r="A44" t="s">
        <v>99</v>
      </c>
      <c r="D44" s="72">
        <f>D42-D43</f>
        <v>5258347.7121852553</v>
      </c>
      <c r="F44" t="s">
        <v>100</v>
      </c>
    </row>
    <row r="45" spans="1:12" ht="12.75" thickBot="1">
      <c r="A45" t="s">
        <v>101</v>
      </c>
      <c r="D45" s="71">
        <f>D44/'Input Sheet(assumtion)'!D46</f>
        <v>12.442668775079026</v>
      </c>
      <c r="F45" s="76">
        <f>(D42+Options!D3*Options!D8)/(Options!D9+Options!D8)</f>
        <v>12.370801843622488</v>
      </c>
    </row>
    <row r="46" spans="1:12" ht="12.75" thickBot="1"/>
    <row r="47" spans="1:12" ht="13.5" thickBot="1">
      <c r="A47" s="142" t="s">
        <v>102</v>
      </c>
      <c r="B47" s="143"/>
      <c r="C47" s="143"/>
      <c r="D47" s="143"/>
      <c r="E47" s="143"/>
      <c r="F47" s="143"/>
      <c r="G47" s="143"/>
      <c r="H47" s="143"/>
      <c r="I47" s="143"/>
      <c r="J47" s="143"/>
      <c r="K47" s="143"/>
      <c r="L47" s="144"/>
    </row>
    <row r="48" spans="1:12">
      <c r="A48" s="117" t="s">
        <v>62</v>
      </c>
      <c r="B48" s="118">
        <f>C3</f>
        <v>287164</v>
      </c>
      <c r="C48" s="118">
        <f t="shared" ref="C48:L48" si="16">D3</f>
        <v>445104.2</v>
      </c>
      <c r="D48" s="118">
        <f t="shared" si="16"/>
        <v>645401.09</v>
      </c>
      <c r="E48" s="118">
        <f t="shared" si="16"/>
        <v>903561.52599999995</v>
      </c>
      <c r="F48" s="118">
        <f t="shared" si="16"/>
        <v>1219808.0601000001</v>
      </c>
      <c r="G48" s="118">
        <f t="shared" si="16"/>
        <v>1585750.4781300002</v>
      </c>
      <c r="H48" s="118">
        <f t="shared" si="16"/>
        <v>1982188.0976625001</v>
      </c>
      <c r="I48" s="118">
        <f t="shared" si="16"/>
        <v>2378625.717195</v>
      </c>
      <c r="J48" s="118">
        <f t="shared" si="16"/>
        <v>2735419.5747742499</v>
      </c>
      <c r="K48" s="118">
        <f t="shared" si="16"/>
        <v>3008961.5322516751</v>
      </c>
      <c r="L48" s="118">
        <f t="shared" si="16"/>
        <v>3099230.3782192254</v>
      </c>
    </row>
    <row r="49" spans="1:12">
      <c r="A49" s="10" t="s">
        <v>103</v>
      </c>
      <c r="B49" s="100">
        <f>C5</f>
        <v>42726.88343156108</v>
      </c>
      <c r="C49" s="100">
        <f t="shared" ref="C49:L49" si="17">D5</f>
        <v>92802.829571171649</v>
      </c>
      <c r="D49" s="100">
        <f t="shared" si="17"/>
        <v>158827.15288627334</v>
      </c>
      <c r="E49" s="100">
        <f t="shared" si="17"/>
        <v>243745.44330715944</v>
      </c>
      <c r="F49" s="100">
        <f t="shared" si="17"/>
        <v>347235.66334108554</v>
      </c>
      <c r="G49" s="100">
        <f t="shared" si="17"/>
        <v>466286.46822374035</v>
      </c>
      <c r="H49" s="100">
        <f t="shared" si="17"/>
        <v>594569.27972252702</v>
      </c>
      <c r="I49" s="100">
        <f t="shared" si="17"/>
        <v>722331.59369052027</v>
      </c>
      <c r="J49" s="100">
        <f t="shared" si="17"/>
        <v>837088.27179443871</v>
      </c>
      <c r="K49" s="100">
        <f t="shared" si="17"/>
        <v>925234.49750134069</v>
      </c>
      <c r="L49" s="100">
        <f t="shared" si="17"/>
        <v>960761.41724795988</v>
      </c>
    </row>
    <row r="50" spans="1:12">
      <c r="A50" s="10" t="s">
        <v>66</v>
      </c>
      <c r="B50" s="100">
        <f>C7</f>
        <v>42726.88343156108</v>
      </c>
      <c r="C50" s="100">
        <f t="shared" ref="C50:L50" si="18">D7</f>
        <v>92802.829571171649</v>
      </c>
      <c r="D50" s="100">
        <f t="shared" si="18"/>
        <v>158827.15288627334</v>
      </c>
      <c r="E50" s="100">
        <f t="shared" si="18"/>
        <v>243745.44330715944</v>
      </c>
      <c r="F50" s="100">
        <f t="shared" si="18"/>
        <v>347235.66334108554</v>
      </c>
      <c r="G50" s="100">
        <f t="shared" si="18"/>
        <v>369954.33566393214</v>
      </c>
      <c r="H50" s="100">
        <f t="shared" si="18"/>
        <v>469709.73098079633</v>
      </c>
      <c r="I50" s="100">
        <f t="shared" si="18"/>
        <v>570641.95901551098</v>
      </c>
      <c r="J50" s="100">
        <f t="shared" si="18"/>
        <v>661299.73471760657</v>
      </c>
      <c r="K50" s="100">
        <f t="shared" si="18"/>
        <v>730935.25302605913</v>
      </c>
      <c r="L50" s="100">
        <f t="shared" si="18"/>
        <v>759001.51962588832</v>
      </c>
    </row>
    <row r="51" spans="1:12">
      <c r="A51" s="10" t="s">
        <v>104</v>
      </c>
      <c r="B51" s="100">
        <f>C9-C8+C10</f>
        <v>64614.207650273209</v>
      </c>
      <c r="C51" s="100">
        <f t="shared" ref="C51:L51" si="19">D9-D8+D10</f>
        <v>86306.120218579221</v>
      </c>
      <c r="D51" s="100">
        <f t="shared" si="19"/>
        <v>109451.85245901631</v>
      </c>
      <c r="E51" s="100">
        <f t="shared" si="19"/>
        <v>141071.27650273222</v>
      </c>
      <c r="F51" s="100">
        <f t="shared" si="19"/>
        <v>172812.31371584709</v>
      </c>
      <c r="G51" s="100">
        <f t="shared" si="19"/>
        <v>199968.53444262297</v>
      </c>
      <c r="H51" s="100">
        <f t="shared" si="19"/>
        <v>216632.57897950819</v>
      </c>
      <c r="I51" s="100">
        <f t="shared" si="19"/>
        <v>216632.57897950814</v>
      </c>
      <c r="J51" s="100">
        <f t="shared" si="19"/>
        <v>194969.32108155728</v>
      </c>
      <c r="K51" s="100">
        <f t="shared" si="19"/>
        <v>149476.47949586075</v>
      </c>
      <c r="L51" s="100">
        <f t="shared" si="19"/>
        <v>50600.101308392557</v>
      </c>
    </row>
    <row r="52" spans="1:12">
      <c r="A52" s="10" t="s">
        <v>70</v>
      </c>
      <c r="B52" s="100">
        <f>B50-B51</f>
        <v>-21887.324218712129</v>
      </c>
      <c r="C52" s="100">
        <f t="shared" ref="C52:L52" si="20">C50-C51</f>
        <v>6496.7093525924283</v>
      </c>
      <c r="D52" s="100">
        <f t="shared" si="20"/>
        <v>49375.300427257025</v>
      </c>
      <c r="E52" s="100">
        <f t="shared" si="20"/>
        <v>102674.16680442722</v>
      </c>
      <c r="F52" s="100">
        <f t="shared" si="20"/>
        <v>174423.34962523845</v>
      </c>
      <c r="G52" s="100">
        <f t="shared" si="20"/>
        <v>169985.80122130917</v>
      </c>
      <c r="H52" s="100">
        <f t="shared" si="20"/>
        <v>253077.15200128814</v>
      </c>
      <c r="I52" s="100">
        <f t="shared" si="20"/>
        <v>354009.38003600284</v>
      </c>
      <c r="J52" s="100">
        <f t="shared" si="20"/>
        <v>466330.41363604926</v>
      </c>
      <c r="K52" s="100">
        <f t="shared" si="20"/>
        <v>581458.77353019838</v>
      </c>
      <c r="L52" s="100">
        <f t="shared" si="20"/>
        <v>708401.41831749573</v>
      </c>
    </row>
  </sheetData>
  <mergeCells count="1">
    <mergeCell ref="A47:L47"/>
  </mergeCells>
  <phoneticPr fontId="21" type="noConversion"/>
  <pageMargins left="0.75" right="0.75" top="1" bottom="1" header="0.5" footer="0.5"/>
  <pageSetup paperSize="0" scale="70" orientation="landscape" horizontalDpi="4294967292" verticalDpi="4294967292"/>
  <headerFooter alignWithMargins="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0FC1E-1671-44A6-81AC-4E4983B489DF}">
  <dimension ref="A1:H13"/>
  <sheetViews>
    <sheetView workbookViewId="0">
      <selection activeCell="K28" sqref="K28"/>
    </sheetView>
  </sheetViews>
  <sheetFormatPr defaultColWidth="11.42578125" defaultRowHeight="12"/>
  <cols>
    <col min="1" max="1" width="23" bestFit="1" customWidth="1"/>
    <col min="2" max="2" width="14" customWidth="1"/>
    <col min="7" max="7" width="13" customWidth="1"/>
    <col min="8" max="8" width="22.5703125" customWidth="1"/>
  </cols>
  <sheetData>
    <row r="1" spans="1:8" s="47" customFormat="1" ht="18">
      <c r="A1" s="47" t="s">
        <v>105</v>
      </c>
    </row>
    <row r="2" spans="1:8">
      <c r="A2" t="s">
        <v>106</v>
      </c>
      <c r="C2">
        <f>'Input Sheet(assumtion)'!C60</f>
        <v>10</v>
      </c>
      <c r="F2" s="11" t="s">
        <v>107</v>
      </c>
      <c r="G2" s="11" t="s">
        <v>62</v>
      </c>
      <c r="H2" s="10" t="s">
        <v>108</v>
      </c>
    </row>
    <row r="3" spans="1:8">
      <c r="A3" t="s">
        <v>109</v>
      </c>
      <c r="C3" s="10">
        <f>'Input Sheet(assumtion)'!C61</f>
        <v>5</v>
      </c>
      <c r="F3" s="11">
        <f>DCFValuation!C1</f>
        <v>1</v>
      </c>
      <c r="G3" s="77">
        <f>DCFValuation!C3</f>
        <v>287164</v>
      </c>
      <c r="H3" s="63">
        <f>DCFValuation!C31</f>
        <v>1.107992918967531</v>
      </c>
    </row>
    <row r="4" spans="1:8">
      <c r="F4" s="11">
        <f>DCFValuation!D1</f>
        <v>2</v>
      </c>
      <c r="G4" s="77">
        <f>DCFValuation!D3</f>
        <v>445104.2</v>
      </c>
      <c r="H4" s="63">
        <f>DCFValuation!D31</f>
        <v>1.2276483084821899</v>
      </c>
    </row>
    <row r="5" spans="1:8">
      <c r="A5" t="s">
        <v>110</v>
      </c>
      <c r="B5" s="64">
        <f>VLOOKUP(C2,F2:G12,2)</f>
        <v>3008961.5322516751</v>
      </c>
      <c r="F5" s="11">
        <f>DCFValuation!E1</f>
        <v>3</v>
      </c>
      <c r="G5" s="77">
        <f>DCFValuation!E3</f>
        <v>645401.09</v>
      </c>
      <c r="H5" s="63">
        <f>DCFValuation!E31</f>
        <v>1.3602256327807336</v>
      </c>
    </row>
    <row r="6" spans="1:8">
      <c r="A6" t="s">
        <v>111</v>
      </c>
      <c r="B6" s="64">
        <f>C3*B5</f>
        <v>15044807.661258375</v>
      </c>
      <c r="F6" s="11">
        <f>DCFValuation!F1</f>
        <v>4</v>
      </c>
      <c r="G6" s="77">
        <f>DCFValuation!F3</f>
        <v>903561.52599999995</v>
      </c>
      <c r="H6" s="63">
        <f>DCFValuation!F31</f>
        <v>1.5071203693191819</v>
      </c>
    </row>
    <row r="7" spans="1:8">
      <c r="A7" t="s">
        <v>112</v>
      </c>
      <c r="B7" s="78">
        <f>VLOOKUP(C2,F2:H12,3)</f>
        <v>2.6968786317993598</v>
      </c>
      <c r="F7" s="11">
        <f>DCFValuation!G1</f>
        <v>5</v>
      </c>
      <c r="G7" s="77">
        <f>DCFValuation!G3</f>
        <v>1219808.0601000001</v>
      </c>
      <c r="H7" s="63">
        <f>DCFValuation!G31</f>
        <v>1.6698786972373838</v>
      </c>
    </row>
    <row r="8" spans="1:8">
      <c r="A8" t="s">
        <v>113</v>
      </c>
      <c r="B8" s="64">
        <f>B6/B7</f>
        <v>5578600.1950041279</v>
      </c>
      <c r="F8" s="11">
        <f>DCFValuation!H1</f>
        <v>6</v>
      </c>
      <c r="G8" s="77">
        <f>DCFValuation!H3</f>
        <v>1585750.4781300002</v>
      </c>
      <c r="H8" s="63">
        <f>DCFValuation!H31</f>
        <v>1.8458282617436905</v>
      </c>
    </row>
    <row r="9" spans="1:8">
      <c r="A9" t="s">
        <v>114</v>
      </c>
      <c r="B9" s="64">
        <f>DCFValuation!D39</f>
        <v>248490</v>
      </c>
      <c r="F9" s="11">
        <f>DCFValuation!I1</f>
        <v>7</v>
      </c>
      <c r="G9" s="77">
        <f>DCFValuation!I3</f>
        <v>1982188.0976625001</v>
      </c>
      <c r="H9" s="63">
        <f>DCFValuation!I31</f>
        <v>2.0363711984151842</v>
      </c>
    </row>
    <row r="10" spans="1:8">
      <c r="A10" t="s">
        <v>115</v>
      </c>
      <c r="B10" s="64">
        <f>DCFValuation!D41</f>
        <v>7150.3563488929722</v>
      </c>
      <c r="F10" s="11">
        <f>DCFValuation!J1</f>
        <v>8</v>
      </c>
      <c r="G10" s="77">
        <f>DCFValuation!J3</f>
        <v>2378625.717195</v>
      </c>
      <c r="H10" s="63">
        <f>DCFValuation!J31</f>
        <v>2.2420534862965096</v>
      </c>
    </row>
    <row r="11" spans="1:8">
      <c r="A11" t="s">
        <v>116</v>
      </c>
      <c r="B11" s="64">
        <f>DCFValuation!D43</f>
        <v>0</v>
      </c>
      <c r="F11" s="11">
        <f>DCFValuation!K1</f>
        <v>9</v>
      </c>
      <c r="G11" s="77">
        <f>DCFValuation!K3</f>
        <v>2735419.5747742499</v>
      </c>
      <c r="H11" s="63">
        <f>DCFValuation!K31</f>
        <v>2.4629838349017499</v>
      </c>
    </row>
    <row r="12" spans="1:8">
      <c r="A12" t="s">
        <v>117</v>
      </c>
      <c r="B12" s="65">
        <f>B8+B9-B10-B11</f>
        <v>5819939.8386552352</v>
      </c>
      <c r="F12" s="11">
        <f>DCFValuation!L1</f>
        <v>10</v>
      </c>
      <c r="G12" s="77">
        <f>DCFValuation!L3</f>
        <v>3008961.5322516751</v>
      </c>
      <c r="H12" s="63">
        <f>DCFValuation!L31</f>
        <v>2.6968786317993598</v>
      </c>
    </row>
    <row r="13" spans="1:8">
      <c r="A13" t="s">
        <v>118</v>
      </c>
      <c r="B13" s="76">
        <f>B12/'Input Sheet(assumtion)'!D46</f>
        <v>13.771547198269932</v>
      </c>
    </row>
  </sheetData>
  <phoneticPr fontId="21" type="noConversion"/>
  <pageMargins left="0.75" right="0.75" top="1" bottom="1" header="0.5" footer="0.5"/>
  <headerFooter alignWithMargins="0"/>
  <ignoredErrors>
    <ignoredError sqref="B11"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47868-FBFE-4F25-AA5B-64B027CB1C19}">
  <dimension ref="A1:C8"/>
  <sheetViews>
    <sheetView workbookViewId="0">
      <selection activeCell="A2" sqref="A2"/>
    </sheetView>
  </sheetViews>
  <sheetFormatPr defaultColWidth="11.42578125" defaultRowHeight="12"/>
  <sheetData>
    <row r="1" spans="1:3">
      <c r="A1" t="s">
        <v>119</v>
      </c>
      <c r="B1" t="s">
        <v>120</v>
      </c>
      <c r="C1" t="s">
        <v>121</v>
      </c>
    </row>
    <row r="2" spans="1:3">
      <c r="C2" s="113"/>
    </row>
    <row r="3" spans="1:3">
      <c r="C3" s="113"/>
    </row>
    <row r="4" spans="1:3">
      <c r="C4" s="114"/>
    </row>
    <row r="5" spans="1:3">
      <c r="C5" s="114"/>
    </row>
    <row r="6" spans="1:3">
      <c r="C6" s="113"/>
    </row>
    <row r="7" spans="1:3">
      <c r="C7" s="114"/>
    </row>
    <row r="8" spans="1:3">
      <c r="C8" s="113"/>
    </row>
  </sheetData>
  <phoneticPr fontId="21"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1ABF5-D27A-4731-810E-30FF66792E2E}">
  <sheetPr codeName="Sheet3"/>
  <dimension ref="A1:K35"/>
  <sheetViews>
    <sheetView workbookViewId="0">
      <selection activeCell="H22" sqref="H22"/>
    </sheetView>
  </sheetViews>
  <sheetFormatPr defaultColWidth="11.42578125" defaultRowHeight="12"/>
  <sheetData>
    <row r="1" spans="1:11" s="14" customFormat="1" ht="18.75">
      <c r="A1" s="13" t="s">
        <v>122</v>
      </c>
      <c r="B1" s="13"/>
      <c r="C1" s="13"/>
      <c r="D1" s="13"/>
      <c r="E1" s="13"/>
      <c r="F1" s="13"/>
      <c r="G1" s="13"/>
      <c r="H1" s="13"/>
      <c r="I1" s="13"/>
      <c r="J1" s="13"/>
      <c r="K1" s="13"/>
    </row>
    <row r="2" spans="1:11" s="3" customFormat="1" ht="12.75">
      <c r="A2" s="3" t="s">
        <v>123</v>
      </c>
    </row>
    <row r="3" spans="1:11" s="7" customFormat="1" ht="12.75">
      <c r="A3" s="7" t="s">
        <v>124</v>
      </c>
      <c r="E3" s="15">
        <v>2703</v>
      </c>
    </row>
    <row r="4" spans="1:11" s="5" customFormat="1" ht="12.75">
      <c r="A4" s="5" t="s">
        <v>125</v>
      </c>
    </row>
    <row r="5" spans="1:11" s="7" customFormat="1" ht="12.75">
      <c r="A5" s="16" t="s">
        <v>107</v>
      </c>
      <c r="B5" s="16" t="s">
        <v>126</v>
      </c>
      <c r="C5" s="7" t="s">
        <v>127</v>
      </c>
    </row>
    <row r="6" spans="1:11" s="7" customFormat="1" ht="12.75">
      <c r="A6" s="16">
        <v>1</v>
      </c>
      <c r="B6" s="15">
        <v>2037</v>
      </c>
    </row>
    <row r="7" spans="1:11" s="7" customFormat="1" ht="12.75">
      <c r="A7" s="16">
        <v>2</v>
      </c>
      <c r="B7" s="15">
        <v>797</v>
      </c>
    </row>
    <row r="8" spans="1:11" s="7" customFormat="1" ht="12.75">
      <c r="A8" s="16">
        <v>3</v>
      </c>
      <c r="B8" s="15">
        <v>580</v>
      </c>
    </row>
    <row r="9" spans="1:11" s="7" customFormat="1" ht="12.75">
      <c r="A9" s="16">
        <v>4</v>
      </c>
      <c r="B9" s="15">
        <v>501</v>
      </c>
    </row>
    <row r="10" spans="1:11" s="7" customFormat="1" ht="12.75">
      <c r="A10" s="16">
        <v>5</v>
      </c>
      <c r="B10" s="15">
        <v>334</v>
      </c>
    </row>
    <row r="11" spans="1:11" s="7" customFormat="1" ht="12.75">
      <c r="A11" s="16" t="s">
        <v>128</v>
      </c>
      <c r="B11" s="15">
        <v>0</v>
      </c>
    </row>
    <row r="12" spans="1:11" s="7" customFormat="1" ht="12.75"/>
    <row r="13" spans="1:11" s="4" customFormat="1" ht="16.5" thickBot="1">
      <c r="A13" s="4" t="s">
        <v>129</v>
      </c>
    </row>
    <row r="14" spans="1:11" s="7" customFormat="1" ht="13.5" thickBot="1">
      <c r="A14" s="7" t="s">
        <v>130</v>
      </c>
      <c r="C14" s="17">
        <f>'Input Sheet(assumtion)'!B26</f>
        <v>7.2999999999999995E-2</v>
      </c>
      <c r="D14" s="7" t="s">
        <v>131</v>
      </c>
    </row>
    <row r="15" spans="1:11" s="7" customFormat="1" ht="12.75"/>
    <row r="16" spans="1:11" s="5" customFormat="1" ht="12.75">
      <c r="A16" s="5" t="s">
        <v>132</v>
      </c>
    </row>
    <row r="17" spans="1:5" s="7" customFormat="1" ht="12.75">
      <c r="A17" s="7" t="s">
        <v>133</v>
      </c>
      <c r="D17" s="18">
        <v>438.339</v>
      </c>
      <c r="E17" s="7" t="s">
        <v>134</v>
      </c>
    </row>
    <row r="18" spans="1:5" s="7" customFormat="1" ht="12.75">
      <c r="A18" s="7" t="s">
        <v>135</v>
      </c>
      <c r="D18" s="18">
        <v>254.63399999999999</v>
      </c>
      <c r="E18" s="7" t="s">
        <v>136</v>
      </c>
    </row>
    <row r="19" spans="1:5" s="7" customFormat="1" ht="12.75">
      <c r="D19" s="19"/>
    </row>
    <row r="20" spans="1:5" s="7" customFormat="1" ht="12.75">
      <c r="A20" s="7" t="s">
        <v>137</v>
      </c>
      <c r="D20" s="20">
        <f>IF(B11&gt;0,ROUND(B11/AVERAGE(B6:B10),0),0)</f>
        <v>0</v>
      </c>
      <c r="E20" s="7" t="s">
        <v>138</v>
      </c>
    </row>
    <row r="21" spans="1:5" s="3" customFormat="1" ht="12.75">
      <c r="E21" s="7" t="s">
        <v>139</v>
      </c>
    </row>
    <row r="22" spans="1:5" s="5" customFormat="1" ht="12.75">
      <c r="A22" s="5" t="s">
        <v>140</v>
      </c>
    </row>
    <row r="23" spans="1:5" s="7" customFormat="1" ht="12.75">
      <c r="A23" s="16" t="s">
        <v>107</v>
      </c>
      <c r="B23" s="16" t="s">
        <v>126</v>
      </c>
      <c r="C23" s="16" t="s">
        <v>141</v>
      </c>
    </row>
    <row r="24" spans="1:5" s="7" customFormat="1" ht="12.75">
      <c r="A24" s="21">
        <f>A6</f>
        <v>1</v>
      </c>
      <c r="B24" s="22">
        <f>B6</f>
        <v>2037</v>
      </c>
      <c r="C24" s="18">
        <f>B24/(1+$C$14)^A24</f>
        <v>1898.4156570363468</v>
      </c>
    </row>
    <row r="25" spans="1:5" s="7" customFormat="1" ht="12.75">
      <c r="A25" s="21">
        <f t="shared" ref="A25:B28" si="0">A7</f>
        <v>2</v>
      </c>
      <c r="B25" s="22">
        <f t="shared" si="0"/>
        <v>797</v>
      </c>
      <c r="C25" s="18">
        <f>B25/(1+$C$14)^A25</f>
        <v>692.24348557189137</v>
      </c>
    </row>
    <row r="26" spans="1:5" s="7" customFormat="1" ht="12.75">
      <c r="A26" s="21">
        <f t="shared" si="0"/>
        <v>3</v>
      </c>
      <c r="B26" s="22">
        <f t="shared" si="0"/>
        <v>580</v>
      </c>
      <c r="C26" s="18">
        <f>B26/(1+$C$14)^A26</f>
        <v>469.49268240489096</v>
      </c>
    </row>
    <row r="27" spans="1:5" s="7" customFormat="1" ht="12.75">
      <c r="A27" s="21">
        <f t="shared" si="0"/>
        <v>4</v>
      </c>
      <c r="B27" s="22">
        <f t="shared" si="0"/>
        <v>501</v>
      </c>
      <c r="C27" s="18">
        <f>B27/(1+$C$14)^A27</f>
        <v>377.95390603986624</v>
      </c>
    </row>
    <row r="28" spans="1:5" s="7" customFormat="1" ht="12.75">
      <c r="A28" s="21">
        <f t="shared" si="0"/>
        <v>5</v>
      </c>
      <c r="B28" s="22">
        <f t="shared" si="0"/>
        <v>334</v>
      </c>
      <c r="C28" s="18">
        <f>B28/(1+$C$14)^A28</f>
        <v>234.82690651746896</v>
      </c>
    </row>
    <row r="29" spans="1:5" s="7" customFormat="1" ht="13.5" thickBot="1">
      <c r="A29" s="23" t="str">
        <f>A11</f>
        <v>6 and beyond</v>
      </c>
      <c r="B29" s="24">
        <f>IF(B11&gt;0,B11/D20,0)</f>
        <v>0</v>
      </c>
      <c r="C29" s="25">
        <f>IF(B11&gt;0,(B29*(1-(1+C14)^(-D20))/C14)/(1+$C$14)^5,0)</f>
        <v>0</v>
      </c>
      <c r="D29" s="7" t="s">
        <v>142</v>
      </c>
    </row>
    <row r="30" spans="1:5" s="7" customFormat="1" ht="13.5" thickBot="1">
      <c r="A30" s="26" t="s">
        <v>143</v>
      </c>
      <c r="B30" s="27"/>
      <c r="C30" s="28">
        <f>SUM(C24:C29)</f>
        <v>3672.9326375704645</v>
      </c>
    </row>
    <row r="31" spans="1:5" s="7" customFormat="1" ht="12.75"/>
    <row r="32" spans="1:5" s="7" customFormat="1" ht="12.75">
      <c r="A32" s="5" t="s">
        <v>144</v>
      </c>
    </row>
    <row r="33" spans="1:7" s="7" customFormat="1" ht="12.75">
      <c r="A33" s="7" t="s">
        <v>145</v>
      </c>
      <c r="F33" s="18">
        <f>C30/(5+D20)</f>
        <v>734.58652751409295</v>
      </c>
      <c r="G33" s="7" t="s">
        <v>146</v>
      </c>
    </row>
    <row r="34" spans="1:7" s="7" customFormat="1" ht="13.5" thickBot="1">
      <c r="A34" s="7" t="s">
        <v>147</v>
      </c>
      <c r="F34" s="29">
        <f>C30*C14</f>
        <v>268.12408254264392</v>
      </c>
      <c r="G34" s="7" t="s">
        <v>148</v>
      </c>
    </row>
    <row r="35" spans="1:7" s="7" customFormat="1" ht="13.5" thickBot="1">
      <c r="A35" s="7" t="s">
        <v>149</v>
      </c>
      <c r="F35" s="30">
        <f>C30</f>
        <v>3672.9326375704645</v>
      </c>
    </row>
  </sheetData>
  <phoneticPr fontId="21"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1B929-17E2-4E8E-814A-7FAB2704128F}">
  <sheetPr codeName="Sheet4"/>
  <dimension ref="A1:J141"/>
  <sheetViews>
    <sheetView workbookViewId="0">
      <selection activeCell="F28" sqref="F28"/>
    </sheetView>
  </sheetViews>
  <sheetFormatPr defaultColWidth="11.42578125" defaultRowHeight="12"/>
  <sheetData>
    <row r="1" spans="1:10" s="14" customFormat="1" ht="18.75">
      <c r="A1" s="13" t="s">
        <v>150</v>
      </c>
      <c r="B1" s="13"/>
      <c r="C1" s="13"/>
      <c r="D1" s="13"/>
      <c r="E1" s="13"/>
      <c r="F1" s="13"/>
      <c r="G1" s="13"/>
      <c r="H1" s="13"/>
      <c r="I1" s="13"/>
      <c r="J1" s="13"/>
    </row>
    <row r="2" spans="1:10" s="7" customFormat="1" ht="12.75">
      <c r="A2" s="7" t="s">
        <v>151</v>
      </c>
    </row>
    <row r="3" spans="1:10" s="7" customFormat="1" ht="12.75">
      <c r="A3" s="7" t="s">
        <v>152</v>
      </c>
    </row>
    <row r="4" spans="1:10" s="7" customFormat="1" ht="12.75"/>
    <row r="5" spans="1:10" s="7" customFormat="1" ht="12.75">
      <c r="A5" s="3" t="s">
        <v>123</v>
      </c>
    </row>
    <row r="6" spans="1:10" s="7" customFormat="1" ht="12.75">
      <c r="A6" s="7" t="s">
        <v>153</v>
      </c>
      <c r="F6" s="31">
        <v>3</v>
      </c>
      <c r="G6" s="7" t="s">
        <v>154</v>
      </c>
    </row>
    <row r="7" spans="1:10" s="7" customFormat="1" ht="12.75">
      <c r="A7" s="7" t="s">
        <v>155</v>
      </c>
      <c r="F7" s="15">
        <v>98250</v>
      </c>
      <c r="G7" s="7" t="s">
        <v>156</v>
      </c>
    </row>
    <row r="8" spans="1:10" s="7" customFormat="1" ht="12.75">
      <c r="A8" s="7" t="s">
        <v>157</v>
      </c>
    </row>
    <row r="9" spans="1:10" s="7" customFormat="1" ht="12.75">
      <c r="A9" s="7" t="s">
        <v>158</v>
      </c>
    </row>
    <row r="10" spans="1:10" s="34" customFormat="1" ht="12.75">
      <c r="A10" s="32" t="s">
        <v>107</v>
      </c>
      <c r="B10" s="32" t="s">
        <v>159</v>
      </c>
      <c r="C10" s="33"/>
      <c r="D10" s="33"/>
      <c r="E10" s="33"/>
      <c r="F10" s="33"/>
      <c r="G10" s="33"/>
      <c r="H10" s="33"/>
      <c r="I10" s="33"/>
    </row>
    <row r="11" spans="1:10" s="34" customFormat="1" ht="12.75">
      <c r="A11" s="35">
        <v>-1</v>
      </c>
      <c r="B11" s="36">
        <v>70555</v>
      </c>
      <c r="C11" s="33" t="s">
        <v>160</v>
      </c>
      <c r="D11" s="33"/>
      <c r="E11" s="33"/>
      <c r="F11" s="33"/>
      <c r="G11" s="33"/>
      <c r="H11" s="33"/>
      <c r="I11" s="33"/>
    </row>
    <row r="12" spans="1:10" s="34" customFormat="1" ht="12.75">
      <c r="A12" s="35">
        <f>IF((0-A11)&lt;$F$6,IF(A11&gt;-1,,A11-1),)</f>
        <v>-2</v>
      </c>
      <c r="B12" s="36">
        <v>51439</v>
      </c>
      <c r="C12" s="33" t="s">
        <v>161</v>
      </c>
      <c r="D12" s="33"/>
      <c r="E12" s="33"/>
      <c r="F12" s="33"/>
      <c r="G12" s="33"/>
      <c r="H12" s="33"/>
      <c r="I12" s="33"/>
    </row>
    <row r="13" spans="1:10" s="34" customFormat="1" ht="12.75">
      <c r="A13" s="35">
        <f t="shared" ref="A13:A20" si="0">IF((0-A12)&lt;$F$6,IF(A12&gt;-1,,A12-1),)</f>
        <v>-3</v>
      </c>
      <c r="B13" s="36">
        <v>76400</v>
      </c>
      <c r="C13" s="33"/>
      <c r="D13" s="33"/>
      <c r="E13" s="33"/>
      <c r="F13" s="33"/>
      <c r="G13" s="33"/>
      <c r="H13" s="33"/>
      <c r="I13" s="33"/>
    </row>
    <row r="14" spans="1:10" s="34" customFormat="1" ht="12.75">
      <c r="A14" s="35">
        <f t="shared" si="0"/>
        <v>0</v>
      </c>
      <c r="B14" s="36"/>
      <c r="C14" s="33"/>
      <c r="D14" s="33"/>
      <c r="E14" s="33"/>
      <c r="F14" s="33"/>
      <c r="G14" s="33"/>
      <c r="H14" s="33"/>
      <c r="I14" s="33"/>
    </row>
    <row r="15" spans="1:10" s="34" customFormat="1" ht="12.75">
      <c r="A15" s="35">
        <f t="shared" si="0"/>
        <v>0</v>
      </c>
      <c r="B15" s="36"/>
      <c r="C15" s="33"/>
      <c r="D15" s="33"/>
      <c r="E15" s="33"/>
      <c r="F15" s="33"/>
      <c r="G15" s="33"/>
      <c r="H15" s="33"/>
      <c r="I15" s="33"/>
    </row>
    <row r="16" spans="1:10" s="34" customFormat="1" ht="12.75">
      <c r="A16" s="35">
        <f t="shared" si="0"/>
        <v>0</v>
      </c>
      <c r="B16" s="36"/>
      <c r="C16" s="33"/>
      <c r="D16" s="33"/>
      <c r="E16" s="33"/>
      <c r="F16" s="33"/>
      <c r="G16" s="33"/>
      <c r="H16" s="33"/>
      <c r="I16" s="33"/>
    </row>
    <row r="17" spans="1:9" s="34" customFormat="1" ht="12.75">
      <c r="A17" s="35">
        <f t="shared" si="0"/>
        <v>0</v>
      </c>
      <c r="B17" s="36"/>
      <c r="C17" s="33"/>
      <c r="D17" s="33"/>
      <c r="E17" s="33"/>
      <c r="F17" s="33"/>
      <c r="G17" s="33"/>
      <c r="H17" s="33"/>
      <c r="I17" s="33"/>
    </row>
    <row r="18" spans="1:9" s="34" customFormat="1" ht="12.75">
      <c r="A18" s="35">
        <f t="shared" si="0"/>
        <v>0</v>
      </c>
      <c r="B18" s="36"/>
      <c r="C18" s="33"/>
      <c r="D18" s="33"/>
      <c r="E18" s="33"/>
      <c r="F18" s="33"/>
      <c r="G18" s="33"/>
      <c r="H18" s="33"/>
      <c r="I18" s="33"/>
    </row>
    <row r="19" spans="1:9" s="34" customFormat="1" ht="12.75">
      <c r="A19" s="35">
        <f t="shared" si="0"/>
        <v>0</v>
      </c>
      <c r="B19" s="36"/>
      <c r="C19" s="33"/>
      <c r="D19" s="33"/>
      <c r="E19" s="33"/>
      <c r="F19" s="33"/>
      <c r="G19" s="33"/>
      <c r="H19" s="33"/>
      <c r="I19" s="33"/>
    </row>
    <row r="20" spans="1:9" s="34" customFormat="1" ht="12.75">
      <c r="A20" s="35">
        <f t="shared" si="0"/>
        <v>0</v>
      </c>
      <c r="B20" s="36"/>
      <c r="C20" s="33"/>
      <c r="D20" s="33"/>
      <c r="E20" s="33"/>
      <c r="F20" s="33"/>
      <c r="G20" s="33"/>
      <c r="H20" s="33"/>
      <c r="I20" s="33"/>
    </row>
    <row r="21" spans="1:9" s="34" customFormat="1" ht="12.75">
      <c r="A21" s="33"/>
      <c r="B21" s="33"/>
      <c r="C21" s="33"/>
      <c r="D21" s="33"/>
      <c r="E21" s="33"/>
      <c r="F21" s="33"/>
      <c r="G21" s="33"/>
      <c r="H21" s="33"/>
      <c r="I21" s="33"/>
    </row>
    <row r="22" spans="1:9" s="34" customFormat="1" ht="12.75">
      <c r="A22" s="37" t="s">
        <v>129</v>
      </c>
      <c r="B22" s="33"/>
      <c r="C22" s="33"/>
      <c r="D22" s="33"/>
      <c r="E22" s="33"/>
      <c r="F22" s="33"/>
      <c r="G22" s="33"/>
      <c r="H22" s="33"/>
      <c r="I22" s="33"/>
    </row>
    <row r="23" spans="1:9" s="34" customFormat="1" ht="12.75">
      <c r="A23" s="32" t="s">
        <v>107</v>
      </c>
      <c r="B23" s="32" t="s">
        <v>162</v>
      </c>
      <c r="C23" s="38" t="s">
        <v>163</v>
      </c>
      <c r="D23" s="39"/>
      <c r="E23" s="33" t="s">
        <v>164</v>
      </c>
      <c r="F23" s="33"/>
      <c r="G23" s="33"/>
      <c r="H23" s="33"/>
      <c r="I23" s="33"/>
    </row>
    <row r="24" spans="1:9" s="34" customFormat="1" ht="12.75">
      <c r="A24" s="32" t="s">
        <v>165</v>
      </c>
      <c r="B24" s="32">
        <f>F7</f>
        <v>98250</v>
      </c>
      <c r="C24" s="32">
        <f>1</f>
        <v>1</v>
      </c>
      <c r="D24" s="32">
        <f>B24*C24</f>
        <v>98250</v>
      </c>
      <c r="E24" s="33"/>
      <c r="F24" s="33"/>
      <c r="G24" s="33"/>
      <c r="H24" s="33"/>
      <c r="I24" s="33"/>
    </row>
    <row r="25" spans="1:9" s="34" customFormat="1" ht="12.75">
      <c r="A25" s="35">
        <f>A11</f>
        <v>-1</v>
      </c>
      <c r="B25" s="32">
        <f>B11</f>
        <v>70555</v>
      </c>
      <c r="C25" s="32">
        <f>IF(A25&lt;0,($F$6+A25)/$F$6,0)</f>
        <v>0.66666666666666663</v>
      </c>
      <c r="D25" s="32">
        <f>B25*C25</f>
        <v>47036.666666666664</v>
      </c>
      <c r="E25" s="94">
        <f t="shared" ref="E25:E34" si="1">IF(A25&lt;0,B25/$F$6,0)</f>
        <v>23518.333333333332</v>
      </c>
      <c r="F25" s="33"/>
      <c r="G25" s="33"/>
      <c r="H25" s="33"/>
      <c r="I25" s="33"/>
    </row>
    <row r="26" spans="1:9" s="34" customFormat="1" ht="12.75">
      <c r="A26" s="35">
        <f t="shared" ref="A26:B34" si="2">A12</f>
        <v>-2</v>
      </c>
      <c r="B26" s="32">
        <f t="shared" si="2"/>
        <v>51439</v>
      </c>
      <c r="C26" s="32">
        <f>IF(A26&lt;0,($F$6+A26)/$F$6,0)</f>
        <v>0.33333333333333331</v>
      </c>
      <c r="D26" s="32">
        <f t="shared" ref="D26:D34" si="3">B26*C26</f>
        <v>17146.333333333332</v>
      </c>
      <c r="E26" s="94">
        <f t="shared" si="1"/>
        <v>17146.333333333332</v>
      </c>
      <c r="F26" s="33"/>
      <c r="G26" s="33"/>
      <c r="H26" s="33"/>
      <c r="I26" s="33"/>
    </row>
    <row r="27" spans="1:9" s="34" customFormat="1" ht="12.75">
      <c r="A27" s="35">
        <f t="shared" si="2"/>
        <v>-3</v>
      </c>
      <c r="B27" s="32">
        <f t="shared" si="2"/>
        <v>76400</v>
      </c>
      <c r="C27" s="32">
        <f>IF(A27&lt;0,($F$6+A27)/$F$6,0)</f>
        <v>0</v>
      </c>
      <c r="D27" s="32">
        <f t="shared" si="3"/>
        <v>0</v>
      </c>
      <c r="E27" s="94">
        <f t="shared" si="1"/>
        <v>25466.666666666668</v>
      </c>
      <c r="F27" s="33"/>
      <c r="G27" s="33"/>
      <c r="H27" s="33"/>
      <c r="I27" s="33"/>
    </row>
    <row r="28" spans="1:9" s="34" customFormat="1" ht="12.75">
      <c r="A28" s="35">
        <f t="shared" si="2"/>
        <v>0</v>
      </c>
      <c r="B28" s="32">
        <f t="shared" si="2"/>
        <v>0</v>
      </c>
      <c r="C28" s="32">
        <f t="shared" ref="C28:C34" si="4">IF(A28&lt;0,($F$6+A28)/$F$6,0)</f>
        <v>0</v>
      </c>
      <c r="D28" s="32">
        <f t="shared" si="3"/>
        <v>0</v>
      </c>
      <c r="E28" s="94">
        <f t="shared" si="1"/>
        <v>0</v>
      </c>
      <c r="F28" s="33"/>
      <c r="G28" s="33"/>
      <c r="H28" s="33"/>
      <c r="I28" s="33"/>
    </row>
    <row r="29" spans="1:9" s="34" customFormat="1" ht="12.75">
      <c r="A29" s="35">
        <f t="shared" si="2"/>
        <v>0</v>
      </c>
      <c r="B29" s="32">
        <f t="shared" si="2"/>
        <v>0</v>
      </c>
      <c r="C29" s="32">
        <f t="shared" si="4"/>
        <v>0</v>
      </c>
      <c r="D29" s="32">
        <f t="shared" si="3"/>
        <v>0</v>
      </c>
      <c r="E29" s="94">
        <f t="shared" si="1"/>
        <v>0</v>
      </c>
      <c r="F29" s="33"/>
      <c r="G29" s="33"/>
      <c r="H29" s="33"/>
      <c r="I29" s="33"/>
    </row>
    <row r="30" spans="1:9" s="34" customFormat="1" ht="12.75">
      <c r="A30" s="35">
        <f t="shared" si="2"/>
        <v>0</v>
      </c>
      <c r="B30" s="32">
        <f t="shared" si="2"/>
        <v>0</v>
      </c>
      <c r="C30" s="32">
        <f t="shared" si="4"/>
        <v>0</v>
      </c>
      <c r="D30" s="32">
        <f t="shared" si="3"/>
        <v>0</v>
      </c>
      <c r="E30" s="94">
        <f t="shared" si="1"/>
        <v>0</v>
      </c>
      <c r="F30" s="33"/>
      <c r="G30" s="33"/>
      <c r="H30" s="33"/>
      <c r="I30" s="33"/>
    </row>
    <row r="31" spans="1:9" s="34" customFormat="1" ht="12.75">
      <c r="A31" s="35">
        <f t="shared" si="2"/>
        <v>0</v>
      </c>
      <c r="B31" s="32">
        <f t="shared" si="2"/>
        <v>0</v>
      </c>
      <c r="C31" s="32">
        <f t="shared" si="4"/>
        <v>0</v>
      </c>
      <c r="D31" s="32">
        <f t="shared" si="3"/>
        <v>0</v>
      </c>
      <c r="E31" s="94">
        <f t="shared" si="1"/>
        <v>0</v>
      </c>
      <c r="F31" s="33"/>
      <c r="G31" s="33"/>
      <c r="H31" s="33"/>
      <c r="I31" s="33"/>
    </row>
    <row r="32" spans="1:9" s="34" customFormat="1" ht="12.75">
      <c r="A32" s="35">
        <f t="shared" si="2"/>
        <v>0</v>
      </c>
      <c r="B32" s="32">
        <f t="shared" si="2"/>
        <v>0</v>
      </c>
      <c r="C32" s="32">
        <f t="shared" si="4"/>
        <v>0</v>
      </c>
      <c r="D32" s="32">
        <f t="shared" si="3"/>
        <v>0</v>
      </c>
      <c r="E32" s="94">
        <f t="shared" si="1"/>
        <v>0</v>
      </c>
      <c r="F32" s="33"/>
      <c r="G32" s="33"/>
      <c r="H32" s="33"/>
      <c r="I32" s="33"/>
    </row>
    <row r="33" spans="1:9" s="34" customFormat="1" ht="12.75">
      <c r="A33" s="35">
        <f t="shared" si="2"/>
        <v>0</v>
      </c>
      <c r="B33" s="32">
        <f t="shared" si="2"/>
        <v>0</v>
      </c>
      <c r="C33" s="32">
        <f t="shared" si="4"/>
        <v>0</v>
      </c>
      <c r="D33" s="32">
        <f t="shared" si="3"/>
        <v>0</v>
      </c>
      <c r="E33" s="94">
        <f t="shared" si="1"/>
        <v>0</v>
      </c>
      <c r="F33" s="33"/>
      <c r="G33" s="33"/>
      <c r="H33" s="33"/>
      <c r="I33" s="33"/>
    </row>
    <row r="34" spans="1:9" s="34" customFormat="1" ht="15.75" customHeight="1" thickBot="1">
      <c r="A34" s="35">
        <f t="shared" si="2"/>
        <v>0</v>
      </c>
      <c r="B34" s="32">
        <f t="shared" si="2"/>
        <v>0</v>
      </c>
      <c r="C34" s="32">
        <f t="shared" si="4"/>
        <v>0</v>
      </c>
      <c r="D34" s="40">
        <f t="shared" si="3"/>
        <v>0</v>
      </c>
      <c r="E34" s="95">
        <f t="shared" si="1"/>
        <v>0</v>
      </c>
      <c r="F34" s="33"/>
      <c r="G34" s="33"/>
      <c r="H34" s="33"/>
      <c r="I34" s="33"/>
    </row>
    <row r="35" spans="1:9" s="7" customFormat="1" ht="13.5" thickBot="1">
      <c r="A35" s="7" t="s">
        <v>166</v>
      </c>
      <c r="D35" s="41">
        <f>SUM(D24:D34)</f>
        <v>162433</v>
      </c>
      <c r="E35" s="96">
        <f>SUM(E25:E34)</f>
        <v>66131.333333333328</v>
      </c>
    </row>
    <row r="36" spans="1:9" ht="12.75" thickBot="1"/>
    <row r="37" spans="1:9" s="7" customFormat="1" ht="13.5" thickBot="1">
      <c r="A37" s="7" t="s">
        <v>167</v>
      </c>
      <c r="D37" s="41">
        <f>E35</f>
        <v>66131.333333333328</v>
      </c>
    </row>
    <row r="38" spans="1:9" s="7" customFormat="1" ht="13.5" thickBot="1"/>
    <row r="39" spans="1:9" s="7" customFormat="1" ht="12.75">
      <c r="A39" s="7" t="s">
        <v>168</v>
      </c>
      <c r="D39" s="42">
        <f>F7-D37</f>
        <v>32118.666666666672</v>
      </c>
      <c r="E39" s="7" t="s">
        <v>169</v>
      </c>
    </row>
    <row r="40" spans="1:9" ht="12.75">
      <c r="A40" t="s">
        <v>170</v>
      </c>
      <c r="D40" s="43">
        <f>(F7-D37)*'Input Sheet(assumtion)'!B17</f>
        <v>6744.920000000001</v>
      </c>
      <c r="E40" s="7"/>
    </row>
    <row r="42" spans="1:9" s="44" customFormat="1">
      <c r="A42" s="44" t="s">
        <v>171</v>
      </c>
    </row>
    <row r="43" spans="1:9" s="7" customFormat="1" ht="12.75">
      <c r="A43" s="5" t="s">
        <v>172</v>
      </c>
      <c r="B43" s="5" t="s">
        <v>173</v>
      </c>
    </row>
    <row r="44" spans="1:9" s="7" customFormat="1" ht="12.75">
      <c r="A44" s="7" t="s">
        <v>174</v>
      </c>
      <c r="B44" s="7">
        <v>2</v>
      </c>
    </row>
    <row r="45" spans="1:9" s="7" customFormat="1" ht="12.75">
      <c r="A45" s="7" t="s">
        <v>175</v>
      </c>
      <c r="B45" s="7">
        <v>10</v>
      </c>
      <c r="D45" s="7" t="s">
        <v>176</v>
      </c>
      <c r="F45" s="7" t="s">
        <v>177</v>
      </c>
    </row>
    <row r="46" spans="1:9" s="7" customFormat="1" ht="12.75">
      <c r="A46" s="7" t="s">
        <v>178</v>
      </c>
      <c r="B46" s="7">
        <v>10</v>
      </c>
      <c r="D46" s="7" t="s">
        <v>179</v>
      </c>
      <c r="F46" s="7" t="s">
        <v>180</v>
      </c>
    </row>
    <row r="47" spans="1:9" s="7" customFormat="1" ht="12.75">
      <c r="A47" s="7" t="s">
        <v>181</v>
      </c>
      <c r="B47" s="7">
        <v>5</v>
      </c>
      <c r="D47" s="7" t="s">
        <v>182</v>
      </c>
      <c r="F47" s="7" t="s">
        <v>183</v>
      </c>
    </row>
    <row r="48" spans="1:9" s="7" customFormat="1" ht="12.75">
      <c r="A48" s="7" t="s">
        <v>184</v>
      </c>
      <c r="B48" s="7">
        <v>3</v>
      </c>
      <c r="D48" s="7" t="s">
        <v>185</v>
      </c>
      <c r="F48" s="7" t="s">
        <v>186</v>
      </c>
    </row>
    <row r="49" spans="1:6" s="7" customFormat="1" ht="12.75">
      <c r="A49" s="7" t="s">
        <v>187</v>
      </c>
      <c r="B49" s="7">
        <v>10</v>
      </c>
      <c r="D49" s="7" t="s">
        <v>188</v>
      </c>
      <c r="F49" s="7" t="s">
        <v>186</v>
      </c>
    </row>
    <row r="50" spans="1:6" s="7" customFormat="1" ht="12.75">
      <c r="A50" s="7" t="s">
        <v>189</v>
      </c>
      <c r="B50" s="7">
        <v>5</v>
      </c>
      <c r="D50" s="7" t="s">
        <v>190</v>
      </c>
      <c r="F50" s="7" t="s">
        <v>186</v>
      </c>
    </row>
    <row r="51" spans="1:6" s="7" customFormat="1" ht="12.75">
      <c r="A51" s="7" t="s">
        <v>191</v>
      </c>
      <c r="B51" s="7">
        <v>5</v>
      </c>
    </row>
    <row r="52" spans="1:6" s="7" customFormat="1" ht="12.75">
      <c r="A52" s="7" t="s">
        <v>192</v>
      </c>
      <c r="B52" s="7">
        <v>2</v>
      </c>
    </row>
    <row r="53" spans="1:6" s="7" customFormat="1" ht="12.75">
      <c r="A53" s="7" t="s">
        <v>193</v>
      </c>
      <c r="B53" s="7">
        <v>2</v>
      </c>
    </row>
    <row r="54" spans="1:6" s="7" customFormat="1" ht="12.75">
      <c r="A54" s="7" t="s">
        <v>194</v>
      </c>
      <c r="B54" s="7">
        <v>2</v>
      </c>
    </row>
    <row r="55" spans="1:6" s="7" customFormat="1" ht="12.75">
      <c r="A55" s="7" t="s">
        <v>195</v>
      </c>
      <c r="B55" s="7">
        <v>2</v>
      </c>
    </row>
    <row r="56" spans="1:6" s="7" customFormat="1" ht="12.75">
      <c r="A56" s="7" t="s">
        <v>196</v>
      </c>
      <c r="B56" s="7">
        <v>3</v>
      </c>
    </row>
    <row r="57" spans="1:6" s="7" customFormat="1" ht="12.75">
      <c r="A57" s="7" t="s">
        <v>197</v>
      </c>
      <c r="B57" s="7">
        <v>3</v>
      </c>
    </row>
    <row r="58" spans="1:6" s="7" customFormat="1" ht="12.75">
      <c r="A58" s="7" t="s">
        <v>198</v>
      </c>
      <c r="B58" s="7">
        <v>5</v>
      </c>
    </row>
    <row r="59" spans="1:6" s="7" customFormat="1" ht="12.75">
      <c r="A59" s="7" t="s">
        <v>199</v>
      </c>
      <c r="B59" s="7">
        <v>10</v>
      </c>
    </row>
    <row r="60" spans="1:6" s="7" customFormat="1" ht="12.75">
      <c r="A60" s="7" t="s">
        <v>200</v>
      </c>
      <c r="B60" s="7">
        <v>10</v>
      </c>
    </row>
    <row r="61" spans="1:6" s="7" customFormat="1" ht="12.75">
      <c r="A61" s="7" t="s">
        <v>201</v>
      </c>
      <c r="B61" s="7">
        <v>10</v>
      </c>
    </row>
    <row r="62" spans="1:6" s="7" customFormat="1" ht="12.75">
      <c r="A62" s="7" t="s">
        <v>202</v>
      </c>
      <c r="B62" s="7">
        <v>10</v>
      </c>
    </row>
    <row r="63" spans="1:6" s="7" customFormat="1" ht="12.75">
      <c r="A63" s="7" t="s">
        <v>203</v>
      </c>
      <c r="B63" s="7">
        <v>10</v>
      </c>
    </row>
    <row r="64" spans="1:6" s="7" customFormat="1" ht="12.75">
      <c r="A64" s="7" t="s">
        <v>204</v>
      </c>
      <c r="B64" s="7">
        <v>10</v>
      </c>
    </row>
    <row r="65" spans="1:2" s="7" customFormat="1" ht="12.75">
      <c r="A65" s="7" t="s">
        <v>205</v>
      </c>
      <c r="B65" s="7">
        <v>5</v>
      </c>
    </row>
    <row r="66" spans="1:2" s="7" customFormat="1" ht="12.75">
      <c r="A66" s="7" t="s">
        <v>206</v>
      </c>
      <c r="B66" s="7">
        <v>5</v>
      </c>
    </row>
    <row r="67" spans="1:2" s="7" customFormat="1" ht="12.75">
      <c r="A67" s="7" t="s">
        <v>207</v>
      </c>
      <c r="B67" s="7">
        <v>3</v>
      </c>
    </row>
    <row r="68" spans="1:2" s="7" customFormat="1" ht="12.75">
      <c r="A68" s="7" t="s">
        <v>208</v>
      </c>
      <c r="B68" s="7">
        <v>5</v>
      </c>
    </row>
    <row r="69" spans="1:2" s="7" customFormat="1" ht="12.75">
      <c r="A69" s="7" t="s">
        <v>209</v>
      </c>
      <c r="B69" s="7">
        <v>5</v>
      </c>
    </row>
    <row r="70" spans="1:2" s="7" customFormat="1" ht="12.75">
      <c r="A70" s="7" t="s">
        <v>210</v>
      </c>
      <c r="B70" s="7">
        <v>10</v>
      </c>
    </row>
    <row r="71" spans="1:2" s="7" customFormat="1" ht="12.75">
      <c r="A71" s="7" t="s">
        <v>211</v>
      </c>
      <c r="B71" s="7">
        <v>3</v>
      </c>
    </row>
    <row r="72" spans="1:2" s="7" customFormat="1" ht="12.75">
      <c r="A72" s="7" t="s">
        <v>212</v>
      </c>
      <c r="B72" s="7">
        <v>3</v>
      </c>
    </row>
    <row r="73" spans="1:2" s="7" customFormat="1" ht="12.75">
      <c r="A73" s="7" t="s">
        <v>213</v>
      </c>
      <c r="B73" s="7">
        <v>10</v>
      </c>
    </row>
    <row r="74" spans="1:2" s="7" customFormat="1" ht="12.75">
      <c r="A74" s="7" t="s">
        <v>214</v>
      </c>
      <c r="B74" s="7">
        <v>10</v>
      </c>
    </row>
    <row r="75" spans="1:2" s="7" customFormat="1" ht="12.75">
      <c r="A75" s="7" t="s">
        <v>215</v>
      </c>
      <c r="B75" s="7">
        <v>10</v>
      </c>
    </row>
    <row r="76" spans="1:2" s="7" customFormat="1" ht="12.75">
      <c r="A76" s="7" t="s">
        <v>216</v>
      </c>
      <c r="B76" s="7">
        <v>10</v>
      </c>
    </row>
    <row r="77" spans="1:2" s="7" customFormat="1" ht="12.75">
      <c r="A77" s="7" t="s">
        <v>217</v>
      </c>
      <c r="B77" s="7">
        <v>5</v>
      </c>
    </row>
    <row r="78" spans="1:2" s="7" customFormat="1" ht="12.75">
      <c r="A78" s="7" t="s">
        <v>218</v>
      </c>
      <c r="B78" s="7">
        <v>3</v>
      </c>
    </row>
    <row r="79" spans="1:2" s="7" customFormat="1" ht="12.75">
      <c r="A79" s="7" t="s">
        <v>219</v>
      </c>
      <c r="B79" s="7">
        <v>5</v>
      </c>
    </row>
    <row r="80" spans="1:2" s="7" customFormat="1" ht="12.75">
      <c r="A80" s="7" t="s">
        <v>220</v>
      </c>
      <c r="B80" s="7">
        <v>2</v>
      </c>
    </row>
    <row r="81" spans="1:2" s="7" customFormat="1" ht="12.75">
      <c r="A81" s="7" t="s">
        <v>221</v>
      </c>
      <c r="B81" s="7">
        <v>3</v>
      </c>
    </row>
    <row r="82" spans="1:2" s="7" customFormat="1" ht="12.75">
      <c r="A82" s="7" t="s">
        <v>222</v>
      </c>
      <c r="B82" s="7">
        <v>3</v>
      </c>
    </row>
    <row r="83" spans="1:2" s="7" customFormat="1" ht="12.75">
      <c r="A83" s="7" t="s">
        <v>223</v>
      </c>
      <c r="B83" s="7">
        <v>5</v>
      </c>
    </row>
    <row r="84" spans="1:2" s="7" customFormat="1" ht="12.75">
      <c r="A84" s="7" t="s">
        <v>224</v>
      </c>
      <c r="B84" s="7">
        <v>10</v>
      </c>
    </row>
    <row r="85" spans="1:2" s="7" customFormat="1" ht="12.75">
      <c r="A85" s="7" t="s">
        <v>225</v>
      </c>
      <c r="B85" s="7">
        <v>3</v>
      </c>
    </row>
    <row r="86" spans="1:2" s="7" customFormat="1" ht="12.75">
      <c r="A86" s="7" t="s">
        <v>226</v>
      </c>
      <c r="B86" s="7">
        <v>5</v>
      </c>
    </row>
    <row r="87" spans="1:2" s="7" customFormat="1" ht="12.75">
      <c r="A87" s="7" t="s">
        <v>227</v>
      </c>
      <c r="B87" s="7">
        <v>2</v>
      </c>
    </row>
    <row r="88" spans="1:2" s="7" customFormat="1" ht="12.75">
      <c r="A88" s="7" t="s">
        <v>228</v>
      </c>
      <c r="B88" s="7">
        <v>3</v>
      </c>
    </row>
    <row r="89" spans="1:2" s="7" customFormat="1" ht="12.75">
      <c r="A89" s="7" t="s">
        <v>229</v>
      </c>
      <c r="B89" s="7">
        <v>5</v>
      </c>
    </row>
    <row r="90" spans="1:2" s="7" customFormat="1" ht="12.75">
      <c r="A90" s="7" t="s">
        <v>230</v>
      </c>
      <c r="B90" s="7">
        <v>5</v>
      </c>
    </row>
    <row r="91" spans="1:2" s="7" customFormat="1" ht="12.75">
      <c r="A91" s="7" t="s">
        <v>231</v>
      </c>
      <c r="B91" s="7">
        <v>3</v>
      </c>
    </row>
    <row r="92" spans="1:2" s="7" customFormat="1" ht="12.75">
      <c r="A92" s="7" t="s">
        <v>232</v>
      </c>
      <c r="B92" s="7">
        <v>3</v>
      </c>
    </row>
    <row r="93" spans="1:2" s="7" customFormat="1" ht="12.75">
      <c r="A93" s="7" t="s">
        <v>233</v>
      </c>
      <c r="B93" s="7">
        <v>3</v>
      </c>
    </row>
    <row r="94" spans="1:2" s="7" customFormat="1" ht="12.75">
      <c r="A94" s="7" t="s">
        <v>234</v>
      </c>
      <c r="B94" s="7">
        <v>3</v>
      </c>
    </row>
    <row r="95" spans="1:2" s="7" customFormat="1" ht="12.75">
      <c r="A95" s="7" t="s">
        <v>235</v>
      </c>
      <c r="B95" s="7">
        <v>3</v>
      </c>
    </row>
    <row r="96" spans="1:2" s="7" customFormat="1" ht="12.75">
      <c r="A96" s="7" t="s">
        <v>236</v>
      </c>
      <c r="B96" s="7">
        <v>3</v>
      </c>
    </row>
    <row r="97" spans="1:2" s="7" customFormat="1" ht="12.75">
      <c r="A97" s="7" t="s">
        <v>237</v>
      </c>
      <c r="B97" s="7">
        <v>3</v>
      </c>
    </row>
    <row r="98" spans="1:2" s="7" customFormat="1" ht="12.75">
      <c r="A98" s="7" t="s">
        <v>238</v>
      </c>
      <c r="B98" s="7">
        <v>3</v>
      </c>
    </row>
    <row r="99" spans="1:2" s="7" customFormat="1" ht="12.75">
      <c r="A99" s="7" t="s">
        <v>239</v>
      </c>
      <c r="B99" s="7">
        <v>3</v>
      </c>
    </row>
    <row r="100" spans="1:2" s="7" customFormat="1" ht="12.75">
      <c r="A100" s="7" t="s">
        <v>240</v>
      </c>
      <c r="B100" s="7">
        <v>3</v>
      </c>
    </row>
    <row r="101" spans="1:2" s="7" customFormat="1" ht="12.75">
      <c r="A101" s="7" t="s">
        <v>241</v>
      </c>
      <c r="B101" s="7">
        <v>10</v>
      </c>
    </row>
    <row r="102" spans="1:2" s="7" customFormat="1" ht="12.75">
      <c r="A102" s="7" t="s">
        <v>242</v>
      </c>
      <c r="B102" s="7">
        <v>5</v>
      </c>
    </row>
    <row r="103" spans="1:2" s="7" customFormat="1" ht="12.75">
      <c r="A103" s="7" t="s">
        <v>243</v>
      </c>
      <c r="B103" s="7">
        <v>10</v>
      </c>
    </row>
    <row r="104" spans="1:2" s="7" customFormat="1" ht="12.75">
      <c r="A104" s="7" t="s">
        <v>244</v>
      </c>
      <c r="B104" s="7">
        <v>3</v>
      </c>
    </row>
    <row r="105" spans="1:2" s="7" customFormat="1" ht="12.75">
      <c r="A105" s="7" t="s">
        <v>245</v>
      </c>
      <c r="B105" s="7">
        <v>5</v>
      </c>
    </row>
    <row r="106" spans="1:2" s="7" customFormat="1" ht="12.75">
      <c r="A106" s="7" t="s">
        <v>246</v>
      </c>
      <c r="B106" s="7">
        <v>10</v>
      </c>
    </row>
    <row r="107" spans="1:2" s="7" customFormat="1" ht="12.75">
      <c r="A107" s="7" t="s">
        <v>247</v>
      </c>
      <c r="B107" s="7">
        <v>5</v>
      </c>
    </row>
    <row r="108" spans="1:2" s="7" customFormat="1" ht="12.75">
      <c r="A108" s="7" t="s">
        <v>248</v>
      </c>
      <c r="B108" s="7">
        <v>10</v>
      </c>
    </row>
    <row r="109" spans="1:2" s="7" customFormat="1" ht="12.75">
      <c r="A109" s="7" t="s">
        <v>249</v>
      </c>
      <c r="B109" s="7">
        <v>10</v>
      </c>
    </row>
    <row r="110" spans="1:2" s="7" customFormat="1" ht="12.75">
      <c r="A110" s="7" t="s">
        <v>250</v>
      </c>
      <c r="B110" s="7">
        <v>3</v>
      </c>
    </row>
    <row r="111" spans="1:2" s="7" customFormat="1" ht="12.75">
      <c r="A111" s="7" t="s">
        <v>251</v>
      </c>
      <c r="B111" s="7">
        <v>5</v>
      </c>
    </row>
    <row r="112" spans="1:2" s="7" customFormat="1" ht="12.75">
      <c r="A112" s="7" t="s">
        <v>252</v>
      </c>
      <c r="B112" s="7">
        <v>5</v>
      </c>
    </row>
    <row r="113" spans="1:2" s="7" customFormat="1" ht="12.75">
      <c r="A113" s="7" t="s">
        <v>253</v>
      </c>
      <c r="B113" s="7">
        <v>5</v>
      </c>
    </row>
    <row r="114" spans="1:2" s="7" customFormat="1" ht="12.75">
      <c r="A114" s="7" t="s">
        <v>254</v>
      </c>
      <c r="B114" s="7">
        <v>10</v>
      </c>
    </row>
    <row r="115" spans="1:2" s="7" customFormat="1" ht="12.75">
      <c r="A115" s="7" t="s">
        <v>255</v>
      </c>
      <c r="B115" s="7">
        <v>5</v>
      </c>
    </row>
    <row r="116" spans="1:2" s="7" customFormat="1" ht="12.75">
      <c r="A116" s="7" t="s">
        <v>256</v>
      </c>
      <c r="B116" s="7">
        <v>5</v>
      </c>
    </row>
    <row r="117" spans="1:2" s="7" customFormat="1" ht="12.75">
      <c r="A117" s="7" t="s">
        <v>257</v>
      </c>
      <c r="B117" s="7">
        <v>5</v>
      </c>
    </row>
    <row r="118" spans="1:2" s="7" customFormat="1" ht="12.75">
      <c r="A118" s="7" t="s">
        <v>258</v>
      </c>
      <c r="B118" s="7">
        <v>3</v>
      </c>
    </row>
    <row r="119" spans="1:2" s="7" customFormat="1" ht="12.75">
      <c r="A119" s="7" t="s">
        <v>259</v>
      </c>
      <c r="B119" s="7">
        <v>3</v>
      </c>
    </row>
    <row r="120" spans="1:2" s="7" customFormat="1" ht="12.75">
      <c r="A120" s="7" t="s">
        <v>260</v>
      </c>
      <c r="B120" s="7">
        <v>5</v>
      </c>
    </row>
    <row r="121" spans="1:2" s="7" customFormat="1" ht="12.75">
      <c r="A121" s="7" t="s">
        <v>261</v>
      </c>
      <c r="B121" s="7">
        <v>5</v>
      </c>
    </row>
    <row r="122" spans="1:2" s="7" customFormat="1" ht="12.75">
      <c r="A122" s="7" t="s">
        <v>262</v>
      </c>
      <c r="B122" s="7">
        <v>2</v>
      </c>
    </row>
    <row r="123" spans="1:2" s="7" customFormat="1" ht="12.75">
      <c r="A123" s="7" t="s">
        <v>263</v>
      </c>
      <c r="B123" s="7">
        <v>2</v>
      </c>
    </row>
    <row r="124" spans="1:2" s="7" customFormat="1" ht="12.75">
      <c r="A124" s="7" t="s">
        <v>264</v>
      </c>
      <c r="B124" s="7">
        <v>2</v>
      </c>
    </row>
    <row r="125" spans="1:2" s="7" customFormat="1" ht="12.75">
      <c r="A125" s="7" t="s">
        <v>265</v>
      </c>
      <c r="B125" s="7">
        <v>2</v>
      </c>
    </row>
    <row r="126" spans="1:2" s="7" customFormat="1" ht="12.75">
      <c r="A126" s="7" t="s">
        <v>266</v>
      </c>
      <c r="B126" s="7">
        <v>2</v>
      </c>
    </row>
    <row r="127" spans="1:2" s="7" customFormat="1" ht="12.75">
      <c r="A127" s="7" t="s">
        <v>267</v>
      </c>
      <c r="B127" s="7">
        <v>5</v>
      </c>
    </row>
    <row r="128" spans="1:2" s="7" customFormat="1" ht="12.75">
      <c r="A128" s="7" t="s">
        <v>268</v>
      </c>
      <c r="B128" s="7">
        <v>5</v>
      </c>
    </row>
    <row r="129" spans="1:2" s="7" customFormat="1" ht="12.75">
      <c r="A129" s="7" t="s">
        <v>269</v>
      </c>
      <c r="B129" s="7">
        <v>3</v>
      </c>
    </row>
    <row r="130" spans="1:2" s="7" customFormat="1" ht="12.75">
      <c r="A130" s="7" t="s">
        <v>270</v>
      </c>
      <c r="B130" s="7">
        <v>5</v>
      </c>
    </row>
    <row r="131" spans="1:2" s="7" customFormat="1" ht="12.75">
      <c r="A131" s="7" t="s">
        <v>271</v>
      </c>
      <c r="B131" s="7">
        <v>5</v>
      </c>
    </row>
    <row r="132" spans="1:2" s="7" customFormat="1" ht="12.75">
      <c r="A132" s="7" t="s">
        <v>272</v>
      </c>
      <c r="B132" s="7">
        <v>10</v>
      </c>
    </row>
    <row r="133" spans="1:2" s="7" customFormat="1" ht="12.75">
      <c r="A133" s="7" t="s">
        <v>273</v>
      </c>
      <c r="B133" s="7">
        <v>5</v>
      </c>
    </row>
    <row r="134" spans="1:2" s="7" customFormat="1" ht="12.75">
      <c r="A134" s="7" t="s">
        <v>274</v>
      </c>
      <c r="B134" s="7">
        <v>5</v>
      </c>
    </row>
    <row r="135" spans="1:2" s="7" customFormat="1" ht="12.75">
      <c r="A135" s="7" t="s">
        <v>275</v>
      </c>
      <c r="B135" s="7">
        <v>2</v>
      </c>
    </row>
    <row r="136" spans="1:2" s="7" customFormat="1" ht="12.75">
      <c r="A136" s="7" t="s">
        <v>276</v>
      </c>
      <c r="B136" s="7">
        <v>5</v>
      </c>
    </row>
    <row r="137" spans="1:2" s="7" customFormat="1" ht="12.75">
      <c r="A137" s="7" t="s">
        <v>277</v>
      </c>
      <c r="B137" s="7">
        <v>5</v>
      </c>
    </row>
    <row r="138" spans="1:2" s="7" customFormat="1" ht="12.75">
      <c r="A138" s="7" t="s">
        <v>278</v>
      </c>
      <c r="B138" s="7">
        <v>3</v>
      </c>
    </row>
    <row r="139" spans="1:2" s="7" customFormat="1" ht="12.75">
      <c r="A139" s="7" t="s">
        <v>279</v>
      </c>
      <c r="B139" s="7">
        <v>5</v>
      </c>
    </row>
    <row r="140" spans="1:2" s="7" customFormat="1" ht="12.75">
      <c r="A140" s="7" t="s">
        <v>280</v>
      </c>
      <c r="B140" s="7">
        <v>10</v>
      </c>
    </row>
    <row r="141" spans="1:2" s="7" customFormat="1" ht="12.75">
      <c r="A141" s="7" t="s">
        <v>281</v>
      </c>
      <c r="B141" s="7">
        <v>10</v>
      </c>
    </row>
  </sheetData>
  <phoneticPr fontId="21" type="noConversion"/>
  <conditionalFormatting sqref="B11:B20">
    <cfRule type="cellIs" dxfId="1" priority="1" stopIfTrue="1" operator="equal">
      <formula>0</formula>
    </cfRule>
  </conditionalFormatting>
  <pageMargins left="0.75" right="0.75" top="1" bottom="1" header="0.5" footer="0.5"/>
  <headerFooter alignWithMargins="0"/>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3176B-A018-42F4-BE9A-98861051B0FE}">
  <sheetPr codeName="Sheet5"/>
  <dimension ref="A1:J40"/>
  <sheetViews>
    <sheetView workbookViewId="0">
      <selection activeCell="F8" sqref="F8"/>
    </sheetView>
  </sheetViews>
  <sheetFormatPr defaultColWidth="11.42578125" defaultRowHeight="12"/>
  <cols>
    <col min="2" max="2" width="16.140625" bestFit="1" customWidth="1"/>
  </cols>
  <sheetData>
    <row r="1" spans="1:10" s="14" customFormat="1" ht="18.75">
      <c r="A1" s="13" t="s">
        <v>282</v>
      </c>
      <c r="B1" s="13"/>
      <c r="C1" s="13"/>
      <c r="D1" s="13"/>
      <c r="E1" s="13"/>
      <c r="F1" s="13"/>
      <c r="G1" s="13"/>
      <c r="H1" s="13"/>
      <c r="I1" s="13"/>
      <c r="J1" s="13"/>
    </row>
    <row r="2" spans="1:10" s="7" customFormat="1" ht="12.75">
      <c r="A2" s="7" t="s">
        <v>283</v>
      </c>
    </row>
    <row r="3" spans="1:10" s="7" customFormat="1" ht="12.75">
      <c r="A3" s="7" t="s">
        <v>152</v>
      </c>
    </row>
    <row r="4" spans="1:10" s="7" customFormat="1" ht="12.75"/>
    <row r="5" spans="1:10" s="7" customFormat="1" ht="12.75">
      <c r="A5" s="3" t="s">
        <v>123</v>
      </c>
    </row>
    <row r="6" spans="1:10" s="7" customFormat="1" ht="12.75">
      <c r="A6" s="7" t="s">
        <v>284</v>
      </c>
      <c r="F6" s="31">
        <v>0</v>
      </c>
    </row>
    <row r="7" spans="1:10" s="7" customFormat="1" ht="12.75">
      <c r="A7" s="7" t="s">
        <v>285</v>
      </c>
      <c r="F7" s="15">
        <v>0</v>
      </c>
      <c r="G7" s="7" t="s">
        <v>156</v>
      </c>
    </row>
    <row r="8" spans="1:10" s="7" customFormat="1" ht="12.75">
      <c r="A8" s="7" t="s">
        <v>286</v>
      </c>
    </row>
    <row r="9" spans="1:10" s="7" customFormat="1" ht="12.75">
      <c r="A9" s="7" t="s">
        <v>158</v>
      </c>
    </row>
    <row r="10" spans="1:10" s="34" customFormat="1" ht="12.75">
      <c r="A10" s="32" t="s">
        <v>107</v>
      </c>
      <c r="B10" s="32" t="s">
        <v>287</v>
      </c>
      <c r="C10" s="33"/>
      <c r="D10" s="33"/>
      <c r="E10" s="33"/>
      <c r="F10" s="33"/>
      <c r="G10" s="33"/>
      <c r="H10" s="33"/>
      <c r="I10" s="33"/>
    </row>
    <row r="11" spans="1:10" s="34" customFormat="1" ht="12.75">
      <c r="A11" s="35">
        <v>-1</v>
      </c>
      <c r="B11" s="36">
        <v>99.114999999999995</v>
      </c>
      <c r="C11" s="33" t="s">
        <v>160</v>
      </c>
      <c r="D11" s="33"/>
      <c r="E11" s="33"/>
      <c r="F11" s="33"/>
      <c r="G11" s="33"/>
      <c r="H11" s="33"/>
      <c r="I11" s="33"/>
    </row>
    <row r="12" spans="1:10" s="34" customFormat="1" ht="12.75">
      <c r="A12" s="35">
        <f>IF((0-A11)&lt;$F$6,IF(A11&gt;-1,,A11-1),)</f>
        <v>0</v>
      </c>
      <c r="B12" s="36">
        <v>45.073</v>
      </c>
      <c r="C12" s="33" t="s">
        <v>161</v>
      </c>
      <c r="D12" s="33"/>
      <c r="E12" s="33"/>
      <c r="F12" s="33"/>
      <c r="G12" s="33"/>
      <c r="H12" s="33"/>
      <c r="I12" s="33"/>
    </row>
    <row r="13" spans="1:10" s="34" customFormat="1" ht="12.75">
      <c r="A13" s="35">
        <f t="shared" ref="A13:A20" si="0">IF((0-A12)&lt;$F$6,IF(A12&gt;-1,,A12-1),)</f>
        <v>0</v>
      </c>
      <c r="B13" s="36">
        <v>18.998000000000001</v>
      </c>
      <c r="C13" s="33"/>
      <c r="D13" s="33"/>
      <c r="E13" s="33"/>
      <c r="F13" s="33"/>
      <c r="G13" s="33"/>
      <c r="H13" s="33"/>
      <c r="I13" s="33"/>
    </row>
    <row r="14" spans="1:10" s="34" customFormat="1" ht="12.75">
      <c r="A14" s="35">
        <f t="shared" si="0"/>
        <v>0</v>
      </c>
      <c r="B14" s="36">
        <v>10.212</v>
      </c>
      <c r="C14" s="33"/>
      <c r="D14" s="33"/>
      <c r="E14" s="33"/>
      <c r="F14" s="33"/>
      <c r="G14" s="33"/>
      <c r="H14" s="33"/>
      <c r="I14" s="33"/>
    </row>
    <row r="15" spans="1:10" s="34" customFormat="1" ht="12.75">
      <c r="A15" s="35">
        <f t="shared" si="0"/>
        <v>0</v>
      </c>
      <c r="B15" s="36">
        <v>11.980999999999998</v>
      </c>
      <c r="C15" s="33"/>
      <c r="D15" s="33"/>
      <c r="E15" s="33"/>
      <c r="F15" s="33"/>
      <c r="G15" s="33"/>
      <c r="H15" s="33"/>
      <c r="I15" s="33"/>
    </row>
    <row r="16" spans="1:10" s="34" customFormat="1" ht="12.75">
      <c r="A16" s="35">
        <f t="shared" si="0"/>
        <v>0</v>
      </c>
      <c r="B16" s="36"/>
      <c r="C16" s="33"/>
      <c r="D16" s="33"/>
      <c r="E16" s="33"/>
      <c r="F16" s="33"/>
      <c r="G16" s="33"/>
      <c r="H16" s="33"/>
      <c r="I16" s="33"/>
    </row>
    <row r="17" spans="1:9" s="34" customFormat="1" ht="12.75">
      <c r="A17" s="35">
        <f t="shared" si="0"/>
        <v>0</v>
      </c>
      <c r="B17" s="36"/>
      <c r="C17" s="33"/>
      <c r="D17" s="33"/>
      <c r="E17" s="33"/>
      <c r="F17" s="33"/>
      <c r="G17" s="33"/>
      <c r="H17" s="33"/>
      <c r="I17" s="33"/>
    </row>
    <row r="18" spans="1:9" s="34" customFormat="1" ht="12.75">
      <c r="A18" s="35">
        <f t="shared" si="0"/>
        <v>0</v>
      </c>
      <c r="B18" s="36"/>
      <c r="C18" s="33"/>
      <c r="D18" s="33"/>
      <c r="E18" s="33"/>
      <c r="F18" s="33"/>
      <c r="G18" s="33"/>
      <c r="H18" s="33"/>
      <c r="I18" s="33"/>
    </row>
    <row r="19" spans="1:9" s="34" customFormat="1" ht="12.75">
      <c r="A19" s="35">
        <f t="shared" si="0"/>
        <v>0</v>
      </c>
      <c r="B19" s="36"/>
      <c r="C19" s="33"/>
      <c r="D19" s="33"/>
      <c r="E19" s="33"/>
      <c r="F19" s="33"/>
      <c r="G19" s="33"/>
      <c r="H19" s="33"/>
      <c r="I19" s="33"/>
    </row>
    <row r="20" spans="1:9" s="34" customFormat="1" ht="12.75">
      <c r="A20" s="35">
        <f t="shared" si="0"/>
        <v>0</v>
      </c>
      <c r="B20" s="36"/>
      <c r="C20" s="33"/>
      <c r="D20" s="33"/>
      <c r="E20" s="33"/>
      <c r="F20" s="33"/>
      <c r="G20" s="33"/>
      <c r="H20" s="33"/>
      <c r="I20" s="33"/>
    </row>
    <row r="21" spans="1:9" s="34" customFormat="1" ht="12.75">
      <c r="A21" s="33"/>
      <c r="B21" s="33"/>
      <c r="C21" s="33"/>
      <c r="D21" s="33"/>
      <c r="E21" s="33"/>
      <c r="F21" s="33"/>
      <c r="G21" s="33"/>
      <c r="H21" s="33"/>
      <c r="I21" s="33"/>
    </row>
    <row r="22" spans="1:9" s="34" customFormat="1" ht="12.75">
      <c r="A22" s="37" t="s">
        <v>129</v>
      </c>
      <c r="B22" s="33"/>
      <c r="C22" s="33"/>
      <c r="D22" s="33"/>
      <c r="E22" s="33"/>
      <c r="F22" s="33"/>
      <c r="G22" s="33"/>
      <c r="H22" s="33"/>
      <c r="I22" s="33"/>
    </row>
    <row r="23" spans="1:9" s="34" customFormat="1" ht="12.75">
      <c r="A23" s="32" t="s">
        <v>107</v>
      </c>
      <c r="B23" s="32" t="s">
        <v>162</v>
      </c>
      <c r="C23" s="38" t="s">
        <v>163</v>
      </c>
      <c r="D23" s="39"/>
      <c r="E23" s="33" t="s">
        <v>164</v>
      </c>
      <c r="F23" s="33"/>
      <c r="G23" s="33"/>
      <c r="H23" s="33"/>
      <c r="I23" s="33"/>
    </row>
    <row r="24" spans="1:9" s="34" customFormat="1" ht="12.75">
      <c r="A24" s="32" t="s">
        <v>165</v>
      </c>
      <c r="B24" s="32">
        <f>F7</f>
        <v>0</v>
      </c>
      <c r="C24" s="32">
        <f>1</f>
        <v>1</v>
      </c>
      <c r="D24" s="32">
        <f>B24*C24</f>
        <v>0</v>
      </c>
      <c r="E24" s="33"/>
      <c r="F24" s="33"/>
      <c r="G24" s="33"/>
      <c r="H24" s="33"/>
      <c r="I24" s="33"/>
    </row>
    <row r="25" spans="1:9" s="34" customFormat="1" ht="12.75">
      <c r="A25" s="35">
        <f>A11</f>
        <v>-1</v>
      </c>
      <c r="B25" s="32">
        <f>B11</f>
        <v>99.114999999999995</v>
      </c>
      <c r="C25" s="32" t="e">
        <f>IF(A25&lt;0,($F$6+A25)/$F$6,0)</f>
        <v>#DIV/0!</v>
      </c>
      <c r="D25" s="32" t="e">
        <f>B25*C25</f>
        <v>#DIV/0!</v>
      </c>
      <c r="E25" s="94" t="e">
        <f t="shared" ref="E25:E34" si="1">IF(A25&lt;0,B25/$F$6,0)</f>
        <v>#DIV/0!</v>
      </c>
      <c r="F25" s="33"/>
      <c r="G25" s="33"/>
      <c r="H25" s="33"/>
      <c r="I25" s="33"/>
    </row>
    <row r="26" spans="1:9" s="34" customFormat="1" ht="12.75">
      <c r="A26" s="35">
        <f t="shared" ref="A26:B34" si="2">A12</f>
        <v>0</v>
      </c>
      <c r="B26" s="32">
        <f t="shared" si="2"/>
        <v>45.073</v>
      </c>
      <c r="C26" s="32">
        <f>IF(A26&lt;0,($F$6+A26)/$F$6,0)</f>
        <v>0</v>
      </c>
      <c r="D26" s="32">
        <f t="shared" ref="D26:D34" si="3">B26*C26</f>
        <v>0</v>
      </c>
      <c r="E26" s="94">
        <f t="shared" si="1"/>
        <v>0</v>
      </c>
      <c r="F26" s="33"/>
      <c r="G26" s="33"/>
      <c r="H26" s="33"/>
      <c r="I26" s="33"/>
    </row>
    <row r="27" spans="1:9" s="34" customFormat="1" ht="12.75">
      <c r="A27" s="35">
        <f t="shared" si="2"/>
        <v>0</v>
      </c>
      <c r="B27" s="32">
        <f t="shared" si="2"/>
        <v>18.998000000000001</v>
      </c>
      <c r="C27" s="32">
        <f>IF(A27&lt;0,($F$6+A27)/$F$6,0)</f>
        <v>0</v>
      </c>
      <c r="D27" s="32">
        <f t="shared" si="3"/>
        <v>0</v>
      </c>
      <c r="E27" s="94">
        <f t="shared" si="1"/>
        <v>0</v>
      </c>
      <c r="F27" s="33"/>
      <c r="G27" s="33"/>
      <c r="H27" s="33"/>
      <c r="I27" s="33"/>
    </row>
    <row r="28" spans="1:9" s="34" customFormat="1" ht="12.75">
      <c r="A28" s="35">
        <f t="shared" si="2"/>
        <v>0</v>
      </c>
      <c r="B28" s="32">
        <f t="shared" si="2"/>
        <v>10.212</v>
      </c>
      <c r="C28" s="32">
        <f t="shared" ref="C28:C34" si="4">IF(A28&lt;0,($F$6+A28)/$F$6,0)</f>
        <v>0</v>
      </c>
      <c r="D28" s="32">
        <f t="shared" si="3"/>
        <v>0</v>
      </c>
      <c r="E28" s="94">
        <f t="shared" si="1"/>
        <v>0</v>
      </c>
      <c r="F28" s="33"/>
      <c r="G28" s="33"/>
      <c r="H28" s="33"/>
      <c r="I28" s="33"/>
    </row>
    <row r="29" spans="1:9" s="34" customFormat="1" ht="12.75">
      <c r="A29" s="35">
        <f t="shared" si="2"/>
        <v>0</v>
      </c>
      <c r="B29" s="32">
        <f t="shared" si="2"/>
        <v>11.980999999999998</v>
      </c>
      <c r="C29" s="32">
        <f t="shared" si="4"/>
        <v>0</v>
      </c>
      <c r="D29" s="32">
        <f t="shared" si="3"/>
        <v>0</v>
      </c>
      <c r="E29" s="94">
        <f t="shared" si="1"/>
        <v>0</v>
      </c>
      <c r="F29" s="33"/>
      <c r="G29" s="33"/>
      <c r="H29" s="33"/>
      <c r="I29" s="33"/>
    </row>
    <row r="30" spans="1:9" s="34" customFormat="1" ht="12.75">
      <c r="A30" s="35">
        <f t="shared" si="2"/>
        <v>0</v>
      </c>
      <c r="B30" s="32">
        <f t="shared" si="2"/>
        <v>0</v>
      </c>
      <c r="C30" s="32">
        <f t="shared" si="4"/>
        <v>0</v>
      </c>
      <c r="D30" s="32">
        <f t="shared" si="3"/>
        <v>0</v>
      </c>
      <c r="E30" s="94">
        <f t="shared" si="1"/>
        <v>0</v>
      </c>
      <c r="F30" s="33"/>
      <c r="G30" s="33"/>
      <c r="H30" s="33"/>
      <c r="I30" s="33"/>
    </row>
    <row r="31" spans="1:9" s="34" customFormat="1" ht="12.75">
      <c r="A31" s="35">
        <f t="shared" si="2"/>
        <v>0</v>
      </c>
      <c r="B31" s="32">
        <f t="shared" si="2"/>
        <v>0</v>
      </c>
      <c r="C31" s="32">
        <f t="shared" si="4"/>
        <v>0</v>
      </c>
      <c r="D31" s="32">
        <f t="shared" si="3"/>
        <v>0</v>
      </c>
      <c r="E31" s="94">
        <f t="shared" si="1"/>
        <v>0</v>
      </c>
      <c r="F31" s="33"/>
      <c r="G31" s="33"/>
      <c r="H31" s="33"/>
      <c r="I31" s="33"/>
    </row>
    <row r="32" spans="1:9" s="34" customFormat="1" ht="12.75">
      <c r="A32" s="35">
        <f t="shared" si="2"/>
        <v>0</v>
      </c>
      <c r="B32" s="32">
        <f t="shared" si="2"/>
        <v>0</v>
      </c>
      <c r="C32" s="32">
        <f t="shared" si="4"/>
        <v>0</v>
      </c>
      <c r="D32" s="32">
        <f t="shared" si="3"/>
        <v>0</v>
      </c>
      <c r="E32" s="94">
        <f t="shared" si="1"/>
        <v>0</v>
      </c>
      <c r="F32" s="33"/>
      <c r="G32" s="33"/>
      <c r="H32" s="33"/>
      <c r="I32" s="33"/>
    </row>
    <row r="33" spans="1:9" s="34" customFormat="1" ht="12.75">
      <c r="A33" s="35">
        <f t="shared" si="2"/>
        <v>0</v>
      </c>
      <c r="B33" s="32">
        <f t="shared" si="2"/>
        <v>0</v>
      </c>
      <c r="C33" s="32">
        <f t="shared" si="4"/>
        <v>0</v>
      </c>
      <c r="D33" s="32">
        <f t="shared" si="3"/>
        <v>0</v>
      </c>
      <c r="E33" s="94">
        <f t="shared" si="1"/>
        <v>0</v>
      </c>
      <c r="F33" s="33"/>
      <c r="G33" s="33"/>
      <c r="H33" s="33"/>
      <c r="I33" s="33"/>
    </row>
    <row r="34" spans="1:9" s="34" customFormat="1" ht="15.75" customHeight="1" thickBot="1">
      <c r="A34" s="35">
        <f t="shared" si="2"/>
        <v>0</v>
      </c>
      <c r="B34" s="32">
        <f t="shared" si="2"/>
        <v>0</v>
      </c>
      <c r="C34" s="32">
        <f t="shared" si="4"/>
        <v>0</v>
      </c>
      <c r="D34" s="40">
        <f t="shared" si="3"/>
        <v>0</v>
      </c>
      <c r="E34" s="95">
        <f t="shared" si="1"/>
        <v>0</v>
      </c>
      <c r="F34" s="33"/>
      <c r="G34" s="33"/>
      <c r="H34" s="33"/>
      <c r="I34" s="33"/>
    </row>
    <row r="35" spans="1:9" s="7" customFormat="1" ht="13.5" thickBot="1">
      <c r="A35" s="7" t="s">
        <v>288</v>
      </c>
      <c r="D35" s="41" t="e">
        <f>SUM(D24:D34)</f>
        <v>#DIV/0!</v>
      </c>
      <c r="E35" s="96" t="e">
        <f>SUM(E25:E34)</f>
        <v>#DIV/0!</v>
      </c>
    </row>
    <row r="36" spans="1:9" ht="12.75" thickBot="1"/>
    <row r="37" spans="1:9" s="7" customFormat="1" ht="13.5" thickBot="1">
      <c r="A37" s="7" t="s">
        <v>167</v>
      </c>
      <c r="D37" s="41" t="e">
        <f>E35</f>
        <v>#DIV/0!</v>
      </c>
    </row>
    <row r="38" spans="1:9" s="7" customFormat="1" ht="13.5" thickBot="1"/>
    <row r="39" spans="1:9" s="7" customFormat="1" ht="12.75">
      <c r="A39" s="7" t="s">
        <v>168</v>
      </c>
      <c r="D39" s="42" t="e">
        <f>F7-D37</f>
        <v>#DIV/0!</v>
      </c>
      <c r="E39" s="7" t="s">
        <v>169</v>
      </c>
    </row>
    <row r="40" spans="1:9" ht="12.75">
      <c r="A40" t="s">
        <v>289</v>
      </c>
      <c r="D40" s="43" t="e">
        <f>(F7-D37)*'Input Sheet(assumtion)'!B17</f>
        <v>#DIV/0!</v>
      </c>
      <c r="E40" s="7"/>
    </row>
  </sheetData>
  <phoneticPr fontId="21" type="noConversion"/>
  <conditionalFormatting sqref="B11:B20">
    <cfRule type="cellIs" dxfId="0" priority="1" stopIfTrue="1" operator="equal">
      <formula>0</formula>
    </cfRule>
  </conditionalFormatting>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1C9CD-13CE-4D3E-BC1A-E542E4773690}">
  <sheetPr codeName="Sheet6"/>
  <dimension ref="A1:B13"/>
  <sheetViews>
    <sheetView workbookViewId="0">
      <selection activeCell="F26" sqref="F26"/>
    </sheetView>
  </sheetViews>
  <sheetFormatPr defaultColWidth="11.42578125" defaultRowHeight="12"/>
  <sheetData>
    <row r="1" spans="1:2" s="9" customFormat="1">
      <c r="A1" s="9" t="s">
        <v>290</v>
      </c>
    </row>
    <row r="2" spans="1:2">
      <c r="A2" s="45" t="s">
        <v>107</v>
      </c>
      <c r="B2" t="s">
        <v>291</v>
      </c>
    </row>
    <row r="3" spans="1:2" ht="12.75">
      <c r="A3" s="45">
        <v>1</v>
      </c>
      <c r="B3" s="134">
        <v>0.7</v>
      </c>
    </row>
    <row r="4" spans="1:2" ht="12.75">
      <c r="A4" s="45">
        <v>2</v>
      </c>
      <c r="B4" s="134">
        <v>0.55000000000000004</v>
      </c>
    </row>
    <row r="5" spans="1:2" ht="12.75">
      <c r="A5" s="45">
        <v>3</v>
      </c>
      <c r="B5" s="134">
        <v>0.45</v>
      </c>
    </row>
    <row r="6" spans="1:2" ht="12.75">
      <c r="A6" s="45">
        <v>4</v>
      </c>
      <c r="B6" s="134">
        <v>0.4</v>
      </c>
    </row>
    <row r="7" spans="1:2" ht="12.75">
      <c r="A7" s="45">
        <v>5</v>
      </c>
      <c r="B7" s="134">
        <v>0.35</v>
      </c>
    </row>
    <row r="8" spans="1:2" ht="12.75">
      <c r="A8" s="45">
        <v>6</v>
      </c>
      <c r="B8" s="134">
        <v>0.3</v>
      </c>
    </row>
    <row r="9" spans="1:2" ht="12.75">
      <c r="A9" s="45">
        <v>7</v>
      </c>
      <c r="B9" s="134">
        <v>0.25</v>
      </c>
    </row>
    <row r="10" spans="1:2" ht="12.75">
      <c r="A10" s="45">
        <v>8</v>
      </c>
      <c r="B10" s="134">
        <v>0.2</v>
      </c>
    </row>
    <row r="11" spans="1:2" ht="12.75">
      <c r="A11" s="45">
        <v>9</v>
      </c>
      <c r="B11" s="134">
        <v>0.15</v>
      </c>
    </row>
    <row r="12" spans="1:2" ht="12.75">
      <c r="A12" s="45">
        <v>10</v>
      </c>
      <c r="B12" s="135">
        <v>0.1</v>
      </c>
    </row>
    <row r="13" spans="1:2" ht="13.5" thickBot="1">
      <c r="A13" t="s">
        <v>292</v>
      </c>
      <c r="B13" s="46">
        <f>((1+B3)*(1+B4)*(1+B5)*(1+B6)*(1+B7)*(1+B8)*(1+B9)*(1+B10)*(1+B11)*(1+B12))^(1/10)-1</f>
        <v>0.33374730928402552</v>
      </c>
    </row>
  </sheetData>
  <phoneticPr fontId="21" type="noConversion"/>
  <pageMargins left="0.75" right="0.75" top="1" bottom="1" header="0.5" footer="0.5"/>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579C3-875C-4142-B250-224C45DD4813}">
  <sheetPr codeName="Sheet7"/>
  <dimension ref="A1:G27"/>
  <sheetViews>
    <sheetView workbookViewId="0">
      <selection activeCell="C16" sqref="C16"/>
    </sheetView>
  </sheetViews>
  <sheetFormatPr defaultColWidth="11.42578125" defaultRowHeight="12"/>
  <sheetData>
    <row r="1" spans="1:7" s="47" customFormat="1" ht="18.75">
      <c r="A1" s="14" t="s">
        <v>293</v>
      </c>
      <c r="B1" s="14"/>
    </row>
    <row r="2" spans="1:7" ht="12.75">
      <c r="A2" s="7" t="s">
        <v>294</v>
      </c>
      <c r="B2" s="7"/>
      <c r="D2" s="68">
        <f>DCFValuation!D45</f>
        <v>12.442668775079026</v>
      </c>
    </row>
    <row r="3" spans="1:7" ht="12.75">
      <c r="A3" s="7" t="s">
        <v>295</v>
      </c>
      <c r="B3" s="7"/>
      <c r="D3" s="48">
        <f>'Input Sheet(assumtion)'!D50</f>
        <v>4.55</v>
      </c>
    </row>
    <row r="4" spans="1:7" ht="12.75">
      <c r="A4" s="7" t="s">
        <v>296</v>
      </c>
      <c r="B4" s="7"/>
      <c r="D4" s="48">
        <f>'Input Sheet(assumtion)'!D51</f>
        <v>4.51</v>
      </c>
    </row>
    <row r="5" spans="1:7" ht="12.75">
      <c r="A5" s="7" t="s">
        <v>297</v>
      </c>
      <c r="B5" s="7"/>
      <c r="D5" s="49">
        <f>'Input Sheet(assumtion)'!D52</f>
        <v>0.85</v>
      </c>
      <c r="E5" s="7" t="s">
        <v>298</v>
      </c>
    </row>
    <row r="6" spans="1:7" ht="12.75">
      <c r="A6" s="7" t="s">
        <v>299</v>
      </c>
      <c r="B6" s="7"/>
      <c r="D6" s="50">
        <f>'Input Sheet(assumtion)'!E53</f>
        <v>0</v>
      </c>
    </row>
    <row r="7" spans="1:7" ht="12.75">
      <c r="A7" s="7" t="s">
        <v>300</v>
      </c>
      <c r="B7" s="7"/>
      <c r="D7" s="50">
        <f>'Input Sheet(assumtion)'!D55</f>
        <v>4.2999999999999997E-2</v>
      </c>
    </row>
    <row r="8" spans="1:7" ht="12.75">
      <c r="A8" s="7" t="s">
        <v>301</v>
      </c>
      <c r="B8" s="7"/>
      <c r="D8" s="48">
        <f>'Input Sheet(assumtion)'!D49</f>
        <v>3883.413</v>
      </c>
    </row>
    <row r="9" spans="1:7" ht="12.75">
      <c r="A9" s="7" t="s">
        <v>302</v>
      </c>
      <c r="B9" s="7"/>
      <c r="D9" s="51">
        <f>'Input Sheet(assumtion)'!D46</f>
        <v>422606.09899999999</v>
      </c>
    </row>
    <row r="10" spans="1:7" ht="12.75">
      <c r="A10" s="7"/>
      <c r="B10" s="7"/>
    </row>
    <row r="11" spans="1:7" s="6" customFormat="1" ht="13.5">
      <c r="A11" s="52" t="s">
        <v>303</v>
      </c>
      <c r="B11" s="5"/>
    </row>
    <row r="12" spans="1:7" s="7" customFormat="1" ht="12.75">
      <c r="A12" s="3" t="s">
        <v>304</v>
      </c>
    </row>
    <row r="13" spans="1:7" s="7" customFormat="1" ht="12.75">
      <c r="A13" s="7" t="s">
        <v>305</v>
      </c>
      <c r="C13" s="53">
        <f>D2</f>
        <v>12.442668775079026</v>
      </c>
      <c r="D13" s="7" t="s">
        <v>306</v>
      </c>
      <c r="F13" s="21">
        <f>D8</f>
        <v>3883.413</v>
      </c>
      <c r="G13" s="54"/>
    </row>
    <row r="14" spans="1:7" s="7" customFormat="1" ht="12.75">
      <c r="A14" s="7" t="s">
        <v>307</v>
      </c>
      <c r="C14" s="53">
        <f>D3</f>
        <v>4.55</v>
      </c>
      <c r="D14" s="7" t="s">
        <v>308</v>
      </c>
      <c r="F14" s="55">
        <f>D9</f>
        <v>422606.09899999999</v>
      </c>
      <c r="G14" s="54"/>
    </row>
    <row r="15" spans="1:7" s="7" customFormat="1" ht="12.75">
      <c r="A15" s="7" t="s">
        <v>309</v>
      </c>
      <c r="C15" s="141" t="e">
        <f ca="1">(C13*F14+C26*F13)/(F14+F13)</f>
        <v>#VALUE!</v>
      </c>
      <c r="D15" s="7" t="s">
        <v>310</v>
      </c>
      <c r="F15" s="56">
        <f>D7</f>
        <v>4.2999999999999997E-2</v>
      </c>
    </row>
    <row r="16" spans="1:7" s="7" customFormat="1" ht="12.75">
      <c r="A16" s="7" t="s">
        <v>311</v>
      </c>
      <c r="C16" s="53">
        <f>C14</f>
        <v>4.55</v>
      </c>
      <c r="D16" s="7" t="s">
        <v>312</v>
      </c>
      <c r="F16" s="57">
        <f>D5^2</f>
        <v>0.72249999999999992</v>
      </c>
    </row>
    <row r="17" spans="1:7" s="7" customFormat="1" ht="12.75">
      <c r="A17" s="7" t="s">
        <v>313</v>
      </c>
      <c r="C17" s="53">
        <f>D4</f>
        <v>4.51</v>
      </c>
      <c r="D17" s="7" t="s">
        <v>314</v>
      </c>
      <c r="F17" s="56">
        <f>D6</f>
        <v>0</v>
      </c>
    </row>
    <row r="18" spans="1:7" s="7" customFormat="1" ht="12.75">
      <c r="C18" s="3"/>
      <c r="D18" s="7" t="s">
        <v>315</v>
      </c>
      <c r="F18" s="58">
        <f>F15-F17</f>
        <v>4.2999999999999997E-2</v>
      </c>
    </row>
    <row r="19" spans="1:7" s="7" customFormat="1" ht="12.75"/>
    <row r="20" spans="1:7" s="7" customFormat="1" ht="12.75">
      <c r="A20" s="7" t="s">
        <v>316</v>
      </c>
      <c r="B20" s="7" t="e">
        <f ca="1">(LN(C15/C16)+(F18+(F16/2))*C17)/(((F16)^(0.5))*(C17^0.5))</f>
        <v>#VALUE!</v>
      </c>
    </row>
    <row r="21" spans="1:7" s="7" customFormat="1" ht="12.75">
      <c r="A21" s="7" t="s">
        <v>317</v>
      </c>
      <c r="B21" s="7" t="e">
        <f ca="1">NORMSDIST(B20)</f>
        <v>#VALUE!</v>
      </c>
    </row>
    <row r="22" spans="1:7" s="7" customFormat="1" ht="12.75"/>
    <row r="23" spans="1:7" s="7" customFormat="1" ht="15.75" customHeight="1">
      <c r="A23" s="7" t="s">
        <v>318</v>
      </c>
      <c r="B23" s="7" t="e">
        <f ca="1">B20-((F16^0.5)*(C17^(0.5)))</f>
        <v>#VALUE!</v>
      </c>
    </row>
    <row r="24" spans="1:7" s="7" customFormat="1" ht="12.75">
      <c r="A24" s="7" t="s">
        <v>319</v>
      </c>
      <c r="B24" s="7" t="e">
        <f ca="1">NORMSDIST(B23)</f>
        <v>#VALUE!</v>
      </c>
    </row>
    <row r="25" spans="1:7" ht="13.5" thickBot="1">
      <c r="A25" s="7"/>
      <c r="B25" s="7"/>
    </row>
    <row r="26" spans="1:7" s="60" customFormat="1" ht="19.5" thickBot="1">
      <c r="A26" s="4" t="s">
        <v>320</v>
      </c>
      <c r="B26" s="14"/>
      <c r="C26" s="59" t="e">
        <f ca="1">((EXP((0-F17)*C17))*C15*B21-C16*(EXP((0-F15)*C17))*B24)</f>
        <v>#VALUE!</v>
      </c>
      <c r="E26" s="122"/>
      <c r="G26" s="61"/>
    </row>
    <row r="27" spans="1:7" ht="13.5" thickBot="1">
      <c r="A27" s="2" t="s">
        <v>321</v>
      </c>
      <c r="D27" s="62" t="e">
        <f ca="1">C26*D8</f>
        <v>#VALUE!</v>
      </c>
    </row>
  </sheetData>
  <phoneticPr fontId="21" type="noConversion"/>
  <pageMargins left="0.75" right="0.75" top="1" bottom="1" header="0.5" footer="0.5"/>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Stern School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Aswath Damodaran</dc:creator>
  <cp:keywords/>
  <dc:description/>
  <cp:lastModifiedBy/>
  <cp:revision/>
  <dcterms:created xsi:type="dcterms:W3CDTF">2000-02-22T13:53:50Z</dcterms:created>
  <dcterms:modified xsi:type="dcterms:W3CDTF">2026-05-10T00:10:36Z</dcterms:modified>
  <cp:category/>
  <cp:contentStatus/>
</cp:coreProperties>
</file>