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xr:revisionPtr revIDLastSave="0" documentId="8_{11F192AC-F2BF-4398-B5E7-56F6E7640740}" xr6:coauthVersionLast="47" xr6:coauthVersionMax="47" xr10:uidLastSave="{00000000-0000-0000-0000-000000000000}"/>
  <bookViews>
    <workbookView xWindow="0" yWindow="0" windowWidth="16384" windowHeight="8192" tabRatio="500" firstSheet="12" activeTab="12" xr2:uid="{00000000-000D-0000-FFFF-FFFF00000000}"/>
  </bookViews>
  <sheets>
    <sheet name="Feeder" sheetId="1" r:id="rId1"/>
    <sheet name="Revenue Build" sheetId="2" r:id="rId2"/>
    <sheet name="Ex 1 Income Statement" sheetId="3" r:id="rId3"/>
    <sheet name="Ex 2 Balance Sheet" sheetId="4" r:id="rId4"/>
    <sheet name="Statement of Cash Flows" sheetId="5" r:id="rId5"/>
    <sheet name="Ex 3 Cap Table" sheetId="6" r:id="rId6"/>
    <sheet name="Pro-Forma Cap Table" sheetId="7" r:id="rId7"/>
    <sheet name="Ex 4 Pie Exhibit" sheetId="8" r:id="rId8"/>
    <sheet name="Ex 5 High Yield Graph" sheetId="9" r:id="rId9"/>
    <sheet name="Operating Summary" sheetId="10" r:id="rId10"/>
    <sheet name="DCF" sheetId="11" r:id="rId11"/>
    <sheet name="Comps" sheetId="12" r:id="rId12"/>
    <sheet name="Waterfall -- Template" sheetId="13" r:id="rId13"/>
    <sheet name="Additional Slides for Memo" sheetId="14" r:id="rId14"/>
  </sheets>
  <calcPr calcId="191028" iterate="1" iterateCount="10000" iterateDelta="1E-4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9" i="13" l="1"/>
  <c r="C58" i="13"/>
  <c r="C57" i="13"/>
  <c r="C60" i="13"/>
  <c r="C54" i="13"/>
  <c r="C53" i="13"/>
  <c r="C47" i="13"/>
  <c r="C46" i="13"/>
  <c r="C43" i="13"/>
  <c r="C42" i="13"/>
  <c r="C41" i="13"/>
  <c r="L5" i="11"/>
  <c r="C23" i="13"/>
  <c r="C22" i="13"/>
  <c r="C21" i="13"/>
  <c r="C20" i="13"/>
  <c r="E48" i="13"/>
  <c r="D48" i="13"/>
  <c r="C48" i="13"/>
  <c r="E43" i="13"/>
  <c r="D43" i="13"/>
  <c r="E41" i="13"/>
  <c r="D41" i="13"/>
  <c r="E40" i="13"/>
  <c r="D40" i="13"/>
  <c r="D37" i="13"/>
  <c r="E37" i="13"/>
  <c r="E36" i="13"/>
  <c r="E35" i="13"/>
  <c r="D35" i="13"/>
  <c r="E34" i="13"/>
  <c r="D34" i="13"/>
  <c r="E33" i="13"/>
  <c r="D33" i="13"/>
  <c r="E32" i="13"/>
  <c r="D32" i="13"/>
  <c r="C29" i="13"/>
  <c r="D28" i="13"/>
  <c r="D29" i="13" s="1"/>
  <c r="E28" i="13"/>
  <c r="E29" i="13" s="1"/>
  <c r="E27" i="13"/>
  <c r="D27" i="13"/>
  <c r="E26" i="13"/>
  <c r="D26" i="13"/>
  <c r="C40" i="13"/>
  <c r="C36" i="13"/>
  <c r="C35" i="13"/>
  <c r="C34" i="13"/>
  <c r="C32" i="13"/>
  <c r="C28" i="13"/>
  <c r="C27" i="13"/>
  <c r="C26" i="13"/>
  <c r="E20" i="13"/>
  <c r="D20" i="13"/>
  <c r="F28" i="1"/>
  <c r="F31" i="1"/>
  <c r="F30" i="1"/>
  <c r="F29" i="1"/>
  <c r="E7" i="13"/>
  <c r="D7" i="13"/>
  <c r="C7" i="13"/>
  <c r="H105" i="1"/>
  <c r="B40" i="12"/>
  <c r="B39" i="12"/>
  <c r="K29" i="12"/>
  <c r="I29" i="12"/>
  <c r="H29" i="12"/>
  <c r="G29" i="12"/>
  <c r="F29" i="12"/>
  <c r="E29" i="12"/>
  <c r="C29" i="12"/>
  <c r="B29" i="12"/>
  <c r="K28" i="12"/>
  <c r="I28" i="12"/>
  <c r="H28" i="12"/>
  <c r="G28" i="12"/>
  <c r="F28" i="12"/>
  <c r="E28" i="12"/>
  <c r="C28" i="12"/>
  <c r="B46" i="12" s="1"/>
  <c r="B28" i="12"/>
  <c r="K27" i="12"/>
  <c r="I27" i="12"/>
  <c r="H27" i="12"/>
  <c r="G27" i="12"/>
  <c r="F27" i="12"/>
  <c r="E27" i="12"/>
  <c r="C27" i="12"/>
  <c r="B45" i="12" s="1"/>
  <c r="B27" i="12"/>
  <c r="K26" i="12"/>
  <c r="I26" i="12"/>
  <c r="H26" i="12"/>
  <c r="G26" i="12"/>
  <c r="F26" i="12"/>
  <c r="E26" i="12"/>
  <c r="C26" i="12"/>
  <c r="B26" i="12"/>
  <c r="K25" i="12"/>
  <c r="I25" i="12"/>
  <c r="H25" i="12"/>
  <c r="G25" i="12"/>
  <c r="F25" i="12"/>
  <c r="E25" i="12"/>
  <c r="C25" i="12"/>
  <c r="B25" i="12"/>
  <c r="K24" i="12"/>
  <c r="I24" i="12"/>
  <c r="H24" i="12"/>
  <c r="G24" i="12"/>
  <c r="F24" i="12"/>
  <c r="E24" i="12"/>
  <c r="C24" i="12"/>
  <c r="B24" i="12"/>
  <c r="J21" i="12"/>
  <c r="D21" i="12"/>
  <c r="J18" i="12"/>
  <c r="D18" i="12"/>
  <c r="J17" i="12"/>
  <c r="D17" i="12"/>
  <c r="J16" i="12"/>
  <c r="D16" i="12"/>
  <c r="J15" i="12"/>
  <c r="D15" i="12"/>
  <c r="J14" i="12"/>
  <c r="D14" i="12"/>
  <c r="J13" i="12"/>
  <c r="D13" i="12"/>
  <c r="J12" i="12"/>
  <c r="D12" i="12"/>
  <c r="J11" i="12"/>
  <c r="D11" i="12"/>
  <c r="J10" i="12"/>
  <c r="D10" i="12"/>
  <c r="J9" i="12"/>
  <c r="D9" i="12"/>
  <c r="E20" i="10"/>
  <c r="D20" i="10"/>
  <c r="E19" i="10"/>
  <c r="D19" i="10"/>
  <c r="C19" i="10"/>
  <c r="E18" i="10"/>
  <c r="D18" i="10"/>
  <c r="C18" i="10"/>
  <c r="C21" i="10" s="1"/>
  <c r="E17" i="10"/>
  <c r="D17" i="10"/>
  <c r="E16" i="10"/>
  <c r="D16" i="10"/>
  <c r="E12" i="10"/>
  <c r="D12" i="10"/>
  <c r="C12" i="10"/>
  <c r="E11" i="10"/>
  <c r="D11" i="10"/>
  <c r="E9" i="10"/>
  <c r="D9" i="10"/>
  <c r="E6" i="10"/>
  <c r="C6" i="10"/>
  <c r="C7" i="10" s="1"/>
  <c r="E5" i="10"/>
  <c r="E7" i="10" s="1"/>
  <c r="E8" i="10" s="1"/>
  <c r="D5" i="10"/>
  <c r="D4" i="10"/>
  <c r="C98" i="7"/>
  <c r="C90" i="7"/>
  <c r="C71" i="7"/>
  <c r="C68" i="7"/>
  <c r="E63" i="7"/>
  <c r="D63" i="7"/>
  <c r="C63" i="7"/>
  <c r="C62" i="7"/>
  <c r="C64" i="7" s="1"/>
  <c r="C44" i="7"/>
  <c r="H30" i="7"/>
  <c r="J30" i="7" s="1"/>
  <c r="I28" i="7"/>
  <c r="G28" i="7"/>
  <c r="C24" i="7"/>
  <c r="C27" i="7" s="1"/>
  <c r="G17" i="7"/>
  <c r="G13" i="7"/>
  <c r="F13" i="7"/>
  <c r="F16" i="7" s="1"/>
  <c r="Q12" i="7"/>
  <c r="K12" i="7"/>
  <c r="Q11" i="7"/>
  <c r="K11" i="7"/>
  <c r="H11" i="7"/>
  <c r="Q10" i="7"/>
  <c r="Q13" i="7" s="1"/>
  <c r="K10" i="7"/>
  <c r="C109" i="6"/>
  <c r="C101" i="6"/>
  <c r="C93" i="6"/>
  <c r="C74" i="6"/>
  <c r="C71" i="6"/>
  <c r="E66" i="6"/>
  <c r="D66" i="6"/>
  <c r="C66" i="6"/>
  <c r="C65" i="6"/>
  <c r="C67" i="6" s="1"/>
  <c r="C47" i="6"/>
  <c r="H33" i="6"/>
  <c r="J33" i="6" s="1"/>
  <c r="I31" i="6"/>
  <c r="G31" i="6"/>
  <c r="C27" i="6"/>
  <c r="C30" i="6" s="1"/>
  <c r="G20" i="6"/>
  <c r="Q16" i="6"/>
  <c r="Q17" i="6" s="1"/>
  <c r="K16" i="6"/>
  <c r="M15" i="6"/>
  <c r="G13" i="6"/>
  <c r="F13" i="6"/>
  <c r="F19" i="6" s="1"/>
  <c r="Q12" i="6"/>
  <c r="K12" i="6"/>
  <c r="Q11" i="6"/>
  <c r="K11" i="6"/>
  <c r="H11" i="6"/>
  <c r="Q10" i="6"/>
  <c r="Q13" i="6" s="1"/>
  <c r="R13" i="6" s="1"/>
  <c r="K10" i="6"/>
  <c r="K13" i="6" s="1"/>
  <c r="M13" i="6" s="1"/>
  <c r="D38" i="5"/>
  <c r="B38" i="5"/>
  <c r="B33" i="5"/>
  <c r="F32" i="5"/>
  <c r="E32" i="5"/>
  <c r="D32" i="5"/>
  <c r="F30" i="5"/>
  <c r="E30" i="5"/>
  <c r="D30" i="5"/>
  <c r="B30" i="5"/>
  <c r="F29" i="5"/>
  <c r="E29" i="5"/>
  <c r="D29" i="5"/>
  <c r="B29" i="5"/>
  <c r="F27" i="5"/>
  <c r="E94" i="6" s="1"/>
  <c r="E27" i="5"/>
  <c r="D94" i="6" s="1"/>
  <c r="D27" i="5"/>
  <c r="C94" i="6" s="1"/>
  <c r="B27" i="5"/>
  <c r="B35" i="5" s="1"/>
  <c r="B22" i="5"/>
  <c r="B21" i="5"/>
  <c r="B23" i="5" s="1"/>
  <c r="B16" i="5"/>
  <c r="B15" i="5"/>
  <c r="B14" i="5"/>
  <c r="B13" i="5"/>
  <c r="B12" i="5"/>
  <c r="B17" i="5" s="1"/>
  <c r="B9" i="5"/>
  <c r="B8" i="5"/>
  <c r="B6" i="5"/>
  <c r="C36" i="4"/>
  <c r="B36" i="4"/>
  <c r="H100" i="1"/>
  <c r="G100" i="1"/>
  <c r="B100" i="1"/>
  <c r="K99" i="1"/>
  <c r="G24" i="4" s="1"/>
  <c r="J99" i="1"/>
  <c r="F24" i="4" s="1"/>
  <c r="I99" i="1"/>
  <c r="E24" i="4" s="1"/>
  <c r="H99" i="1"/>
  <c r="G99" i="1"/>
  <c r="I95" i="1"/>
  <c r="I96" i="1" s="1"/>
  <c r="I97" i="1" s="1"/>
  <c r="H95" i="1"/>
  <c r="H96" i="1" s="1"/>
  <c r="H97" i="1" s="1"/>
  <c r="G95" i="1"/>
  <c r="G96" i="1" s="1"/>
  <c r="G97" i="1" s="1"/>
  <c r="B95" i="1"/>
  <c r="K94" i="1"/>
  <c r="J94" i="1"/>
  <c r="I94" i="1"/>
  <c r="H94" i="1"/>
  <c r="G94" i="1"/>
  <c r="H90" i="1"/>
  <c r="H91" i="1" s="1"/>
  <c r="H92" i="1" s="1"/>
  <c r="G90" i="1"/>
  <c r="G91" i="1" s="1"/>
  <c r="G92" i="1" s="1"/>
  <c r="F90" i="1"/>
  <c r="F91" i="1" s="1"/>
  <c r="F92" i="1" s="1"/>
  <c r="B90" i="1"/>
  <c r="K89" i="1"/>
  <c r="J89" i="1"/>
  <c r="I89" i="1"/>
  <c r="H89" i="1"/>
  <c r="H106" i="1" s="1"/>
  <c r="G89" i="1"/>
  <c r="F89" i="1"/>
  <c r="B85" i="1"/>
  <c r="K84" i="1"/>
  <c r="J84" i="1"/>
  <c r="I84" i="1"/>
  <c r="B80" i="1"/>
  <c r="K79" i="1"/>
  <c r="J79" i="1"/>
  <c r="I79" i="1"/>
  <c r="H75" i="1"/>
  <c r="B75" i="1"/>
  <c r="K74" i="1"/>
  <c r="J74" i="1"/>
  <c r="I74" i="1"/>
  <c r="H74" i="1"/>
  <c r="H71" i="1"/>
  <c r="G71" i="1"/>
  <c r="H70" i="1"/>
  <c r="G70" i="1"/>
  <c r="B69" i="1"/>
  <c r="K68" i="1"/>
  <c r="J68" i="1"/>
  <c r="I68" i="1"/>
  <c r="K66" i="1"/>
  <c r="J66" i="1"/>
  <c r="I66" i="1"/>
  <c r="K65" i="1"/>
  <c r="J65" i="1"/>
  <c r="I65" i="1"/>
  <c r="K64" i="1"/>
  <c r="J64" i="1"/>
  <c r="I64" i="1"/>
  <c r="H64" i="1"/>
  <c r="H69" i="1" s="1"/>
  <c r="H68" i="1" s="1"/>
  <c r="G64" i="1"/>
  <c r="G69" i="1" s="1"/>
  <c r="G68" i="1" s="1"/>
  <c r="F64" i="1"/>
  <c r="B64" i="1"/>
  <c r="K63" i="1"/>
  <c r="J63" i="1"/>
  <c r="I63" i="1"/>
  <c r="H63" i="1"/>
  <c r="H107" i="1" s="1"/>
  <c r="G63" i="1"/>
  <c r="F63" i="1"/>
  <c r="B59" i="1"/>
  <c r="K58" i="1"/>
  <c r="J58" i="1"/>
  <c r="I58" i="1"/>
  <c r="H54" i="1"/>
  <c r="G54" i="1"/>
  <c r="F54" i="1"/>
  <c r="B54" i="1"/>
  <c r="H53" i="1"/>
  <c r="G53" i="1"/>
  <c r="F53" i="1"/>
  <c r="H51" i="1"/>
  <c r="G51" i="1"/>
  <c r="F51" i="1"/>
  <c r="H50" i="1"/>
  <c r="G50" i="1"/>
  <c r="F50" i="1"/>
  <c r="B49" i="1"/>
  <c r="K48" i="1"/>
  <c r="J48" i="1"/>
  <c r="I48" i="1"/>
  <c r="H44" i="1"/>
  <c r="G44" i="1"/>
  <c r="F44" i="1"/>
  <c r="B44" i="1"/>
  <c r="H43" i="1"/>
  <c r="G43" i="1"/>
  <c r="F43" i="1"/>
  <c r="H41" i="1"/>
  <c r="G41" i="1"/>
  <c r="F41" i="1"/>
  <c r="H40" i="1"/>
  <c r="G40" i="1"/>
  <c r="F40" i="1"/>
  <c r="B39" i="1"/>
  <c r="K38" i="1"/>
  <c r="J38" i="1"/>
  <c r="I38" i="1"/>
  <c r="H34" i="1"/>
  <c r="G34" i="1"/>
  <c r="F34" i="1"/>
  <c r="B34" i="1"/>
  <c r="H33" i="1"/>
  <c r="G33" i="1"/>
  <c r="F33" i="1"/>
  <c r="H31" i="1"/>
  <c r="G31" i="1"/>
  <c r="H30" i="1"/>
  <c r="G30" i="1"/>
  <c r="B29" i="1"/>
  <c r="K28" i="1"/>
  <c r="J28" i="1"/>
  <c r="I28" i="1"/>
  <c r="H24" i="1"/>
  <c r="F24" i="1"/>
  <c r="B24" i="1"/>
  <c r="H23" i="1"/>
  <c r="G23" i="1"/>
  <c r="F23" i="1"/>
  <c r="H21" i="1"/>
  <c r="G21" i="1"/>
  <c r="H20" i="1"/>
  <c r="G20" i="1"/>
  <c r="B19" i="1"/>
  <c r="H14" i="1"/>
  <c r="G14" i="1"/>
  <c r="F14" i="1"/>
  <c r="B14" i="1"/>
  <c r="H13" i="1"/>
  <c r="H80" i="1" s="1"/>
  <c r="H79" i="1" s="1"/>
  <c r="G13" i="1"/>
  <c r="G80" i="1" s="1"/>
  <c r="G79" i="1" s="1"/>
  <c r="F13" i="1"/>
  <c r="G11" i="1"/>
  <c r="H11" i="1" s="1"/>
  <c r="I11" i="1" s="1"/>
  <c r="J11" i="1" s="1"/>
  <c r="K11" i="1" s="1"/>
  <c r="B6" i="1"/>
  <c r="B7" i="1" s="1"/>
  <c r="F4" i="1"/>
  <c r="D4" i="1"/>
  <c r="H16" i="2"/>
  <c r="G16" i="2"/>
  <c r="F16" i="2"/>
  <c r="H14" i="2"/>
  <c r="G14" i="2"/>
  <c r="F14" i="2"/>
  <c r="H12" i="2"/>
  <c r="G12" i="2"/>
  <c r="F12" i="2"/>
  <c r="H9" i="2"/>
  <c r="I9" i="2" s="1"/>
  <c r="J9" i="2" s="1"/>
  <c r="K9" i="2" s="1"/>
  <c r="G9" i="2"/>
  <c r="F9" i="2"/>
  <c r="H7" i="2"/>
  <c r="I7" i="2" s="1"/>
  <c r="J7" i="2" s="1"/>
  <c r="K7" i="2" s="1"/>
  <c r="G7" i="2"/>
  <c r="F7" i="2"/>
  <c r="H5" i="2"/>
  <c r="I5" i="2" s="1"/>
  <c r="J5" i="2" s="1"/>
  <c r="K5" i="2" s="1"/>
  <c r="G5" i="2"/>
  <c r="F5" i="2"/>
  <c r="G2" i="2"/>
  <c r="H2" i="2" s="1"/>
  <c r="I2" i="2" s="1"/>
  <c r="J2" i="2" s="1"/>
  <c r="K2" i="2" s="1"/>
  <c r="F19" i="2" l="1"/>
  <c r="G19" i="2"/>
  <c r="G20" i="2" s="1"/>
  <c r="H19" i="2"/>
  <c r="H20" i="2" s="1"/>
  <c r="I12" i="2"/>
  <c r="F21" i="2"/>
  <c r="G21" i="2"/>
  <c r="G22" i="2" s="1"/>
  <c r="H21" i="2"/>
  <c r="H22" i="2" s="1"/>
  <c r="I14" i="2"/>
  <c r="F23" i="2"/>
  <c r="G23" i="2"/>
  <c r="G24" i="2" s="1"/>
  <c r="H23" i="2"/>
  <c r="H24" i="2" s="1"/>
  <c r="I16" i="2"/>
  <c r="B15" i="1"/>
  <c r="D14" i="1"/>
  <c r="G19" i="1"/>
  <c r="G18" i="1" s="1"/>
  <c r="H19" i="1"/>
  <c r="H18" i="1" s="1"/>
  <c r="B20" i="1"/>
  <c r="D19" i="1"/>
  <c r="B25" i="1"/>
  <c r="D24" i="1"/>
  <c r="H85" i="1"/>
  <c r="H84" i="1" s="1"/>
  <c r="H29" i="1"/>
  <c r="H28" i="1" s="1"/>
  <c r="B30" i="1"/>
  <c r="D29" i="1"/>
  <c r="B35" i="1"/>
  <c r="D34" i="1"/>
  <c r="F39" i="1"/>
  <c r="F38" i="1" s="1"/>
  <c r="G39" i="1"/>
  <c r="G38" i="1" s="1"/>
  <c r="H39" i="1"/>
  <c r="H38" i="1" s="1"/>
  <c r="B40" i="1"/>
  <c r="D39" i="1"/>
  <c r="B45" i="1"/>
  <c r="D44" i="1"/>
  <c r="F49" i="1"/>
  <c r="F48" i="1" s="1"/>
  <c r="G49" i="1"/>
  <c r="G48" i="1" s="1"/>
  <c r="H49" i="1"/>
  <c r="H48" i="1" s="1"/>
  <c r="B50" i="1"/>
  <c r="D49" i="1"/>
  <c r="B55" i="1"/>
  <c r="D54" i="1"/>
  <c r="F59" i="1"/>
  <c r="F58" i="1" s="1"/>
  <c r="G59" i="1"/>
  <c r="G58" i="1" s="1"/>
  <c r="H59" i="1"/>
  <c r="H58" i="1" s="1"/>
  <c r="B60" i="1"/>
  <c r="D59" i="1"/>
  <c r="D8" i="5"/>
  <c r="F21" i="3"/>
  <c r="E14" i="4" s="1"/>
  <c r="I107" i="1"/>
  <c r="E8" i="5"/>
  <c r="G21" i="3"/>
  <c r="J107" i="1"/>
  <c r="F8" i="5"/>
  <c r="H21" i="3"/>
  <c r="K107" i="1"/>
  <c r="B65" i="1"/>
  <c r="D64" i="1"/>
  <c r="B70" i="1"/>
  <c r="D69" i="1"/>
  <c r="B76" i="1"/>
  <c r="D75" i="1"/>
  <c r="B81" i="1"/>
  <c r="D80" i="1"/>
  <c r="B86" i="1"/>
  <c r="D85" i="1"/>
  <c r="F20" i="3"/>
  <c r="I106" i="1"/>
  <c r="G20" i="3"/>
  <c r="J106" i="1"/>
  <c r="H20" i="3"/>
  <c r="K106" i="1"/>
  <c r="B91" i="1"/>
  <c r="D90" i="1"/>
  <c r="B96" i="1"/>
  <c r="D95" i="1"/>
  <c r="B101" i="1"/>
  <c r="D100" i="1"/>
  <c r="H108" i="1"/>
  <c r="I105" i="1" s="1"/>
  <c r="I108" i="1" s="1"/>
  <c r="B18" i="5"/>
  <c r="B37" i="5"/>
  <c r="B39" i="5"/>
  <c r="M11" i="6"/>
  <c r="R11" i="6"/>
  <c r="G19" i="6"/>
  <c r="H13" i="6"/>
  <c r="M19" i="6"/>
  <c r="M21" i="6" s="1"/>
  <c r="K17" i="6"/>
  <c r="Q19" i="6"/>
  <c r="R19" i="6" s="1"/>
  <c r="H32" i="6"/>
  <c r="H31" i="6"/>
  <c r="H34" i="6" s="1"/>
  <c r="J32" i="6"/>
  <c r="J31" i="6"/>
  <c r="J34" i="6" s="1"/>
  <c r="C87" i="6"/>
  <c r="C99" i="6"/>
  <c r="D93" i="6" s="1"/>
  <c r="C97" i="6"/>
  <c r="C107" i="6"/>
  <c r="D101" i="6" s="1"/>
  <c r="C105" i="6"/>
  <c r="C115" i="6"/>
  <c r="D109" i="6" s="1"/>
  <c r="C113" i="6"/>
  <c r="K13" i="7"/>
  <c r="M11" i="7"/>
  <c r="Q16" i="7"/>
  <c r="R16" i="7" s="1"/>
  <c r="R13" i="7"/>
  <c r="R11" i="7"/>
  <c r="M15" i="11"/>
  <c r="O15" i="11" s="1"/>
  <c r="M14" i="11"/>
  <c r="O14" i="11" s="1"/>
  <c r="M13" i="11"/>
  <c r="O13" i="11" s="1"/>
  <c r="O16" i="11" s="1"/>
  <c r="O18" i="11" s="1"/>
  <c r="L7" i="11" s="1"/>
  <c r="G16" i="7"/>
  <c r="H13" i="7"/>
  <c r="H29" i="7"/>
  <c r="H28" i="7"/>
  <c r="H31" i="7" s="1"/>
  <c r="J29" i="7"/>
  <c r="J28" i="7"/>
  <c r="J31" i="7" s="1"/>
  <c r="C84" i="7"/>
  <c r="C96" i="7"/>
  <c r="D90" i="7" s="1"/>
  <c r="C94" i="7"/>
  <c r="C104" i="7"/>
  <c r="D98" i="7" s="1"/>
  <c r="C102" i="7"/>
  <c r="C9" i="10"/>
  <c r="C8" i="10"/>
  <c r="D24" i="10"/>
  <c r="D13" i="10"/>
  <c r="D25" i="10" s="1"/>
  <c r="D10" i="10"/>
  <c r="E24" i="10"/>
  <c r="E13" i="10"/>
  <c r="E25" i="10" s="1"/>
  <c r="E10" i="10"/>
  <c r="D27" i="10"/>
  <c r="D26" i="10"/>
  <c r="E27" i="10"/>
  <c r="E26" i="10"/>
  <c r="D29" i="12"/>
  <c r="D28" i="12"/>
  <c r="D27" i="12"/>
  <c r="D26" i="12"/>
  <c r="D25" i="12"/>
  <c r="D24" i="12"/>
  <c r="J29" i="12"/>
  <c r="J28" i="12"/>
  <c r="J27" i="12"/>
  <c r="J26" i="12"/>
  <c r="J25" i="12"/>
  <c r="J24" i="12"/>
  <c r="C24" i="10" l="1"/>
  <c r="C13" i="10"/>
  <c r="C25" i="10" s="1"/>
  <c r="C10" i="10"/>
  <c r="D104" i="7"/>
  <c r="E98" i="7" s="1"/>
  <c r="D102" i="7"/>
  <c r="D96" i="7"/>
  <c r="E90" i="7" s="1"/>
  <c r="D94" i="7"/>
  <c r="G18" i="7"/>
  <c r="H18" i="7" s="1"/>
  <c r="H16" i="7"/>
  <c r="M16" i="7"/>
  <c r="M18" i="7" s="1"/>
  <c r="M13" i="7"/>
  <c r="D115" i="6"/>
  <c r="E109" i="6" s="1"/>
  <c r="D113" i="6"/>
  <c r="D107" i="6"/>
  <c r="E101" i="6" s="1"/>
  <c r="D105" i="6"/>
  <c r="D99" i="6"/>
  <c r="E93" i="6" s="1"/>
  <c r="D97" i="6"/>
  <c r="G21" i="6"/>
  <c r="H21" i="6" s="1"/>
  <c r="H19" i="6"/>
  <c r="E13" i="4"/>
  <c r="E15" i="4" s="1"/>
  <c r="J105" i="1"/>
  <c r="J108" i="1" s="1"/>
  <c r="B102" i="1"/>
  <c r="D102" i="1" s="1"/>
  <c r="D101" i="1"/>
  <c r="B97" i="1"/>
  <c r="D97" i="1" s="1"/>
  <c r="D96" i="1"/>
  <c r="B92" i="1"/>
  <c r="D92" i="1" s="1"/>
  <c r="D91" i="1"/>
  <c r="H12" i="10"/>
  <c r="F21" i="5"/>
  <c r="G12" i="10"/>
  <c r="E21" i="5"/>
  <c r="F12" i="10"/>
  <c r="D21" i="5"/>
  <c r="B87" i="1"/>
  <c r="D87" i="1" s="1"/>
  <c r="D86" i="1"/>
  <c r="B82" i="1"/>
  <c r="D82" i="1" s="1"/>
  <c r="D81" i="1"/>
  <c r="B77" i="1"/>
  <c r="D77" i="1" s="1"/>
  <c r="D76" i="1"/>
  <c r="B71" i="1"/>
  <c r="D71" i="1" s="1"/>
  <c r="D70" i="1"/>
  <c r="B66" i="1"/>
  <c r="D66" i="1" s="1"/>
  <c r="D65" i="1"/>
  <c r="F14" i="4"/>
  <c r="G14" i="4" s="1"/>
  <c r="B61" i="1"/>
  <c r="D61" i="1" s="1"/>
  <c r="D60" i="1"/>
  <c r="B56" i="1"/>
  <c r="D56" i="1" s="1"/>
  <c r="D55" i="1"/>
  <c r="B51" i="1"/>
  <c r="D51" i="1" s="1"/>
  <c r="D50" i="1"/>
  <c r="B46" i="1"/>
  <c r="D46" i="1" s="1"/>
  <c r="D45" i="1"/>
  <c r="B41" i="1"/>
  <c r="D41" i="1" s="1"/>
  <c r="D40" i="1"/>
  <c r="B36" i="1"/>
  <c r="D36" i="1" s="1"/>
  <c r="D35" i="1"/>
  <c r="B31" i="1"/>
  <c r="D31" i="1" s="1"/>
  <c r="D30" i="1"/>
  <c r="B26" i="1"/>
  <c r="D26" i="1" s="1"/>
  <c r="D25" i="1"/>
  <c r="B21" i="1"/>
  <c r="D21" i="1" s="1"/>
  <c r="D20" i="1"/>
  <c r="B16" i="1"/>
  <c r="D16" i="1" s="1"/>
  <c r="D15" i="1"/>
  <c r="I23" i="2"/>
  <c r="J16" i="2"/>
  <c r="I21" i="2"/>
  <c r="J14" i="2"/>
  <c r="I19" i="2"/>
  <c r="J12" i="2"/>
  <c r="J19" i="2" l="1"/>
  <c r="K12" i="2"/>
  <c r="K19" i="2" s="1"/>
  <c r="I14" i="1"/>
  <c r="I20" i="2"/>
  <c r="I18" i="2"/>
  <c r="J21" i="2"/>
  <c r="K14" i="2"/>
  <c r="K21" i="2" s="1"/>
  <c r="I15" i="1"/>
  <c r="I22" i="2"/>
  <c r="J23" i="2"/>
  <c r="K16" i="2"/>
  <c r="K23" i="2" s="1"/>
  <c r="I16" i="1"/>
  <c r="I24" i="2"/>
  <c r="E18" i="11"/>
  <c r="D23" i="5"/>
  <c r="F18" i="11"/>
  <c r="E23" i="5"/>
  <c r="G18" i="11"/>
  <c r="F23" i="5"/>
  <c r="F13" i="4"/>
  <c r="F15" i="4" s="1"/>
  <c r="K105" i="1"/>
  <c r="K108" i="1" s="1"/>
  <c r="G13" i="4" s="1"/>
  <c r="G15" i="4" s="1"/>
  <c r="E99" i="6"/>
  <c r="E97" i="6"/>
  <c r="E107" i="6"/>
  <c r="E105" i="6"/>
  <c r="E115" i="6"/>
  <c r="E113" i="6"/>
  <c r="E96" i="7"/>
  <c r="E94" i="7"/>
  <c r="E104" i="7"/>
  <c r="E102" i="7"/>
  <c r="I56" i="1" l="1"/>
  <c r="I46" i="1"/>
  <c r="I36" i="1"/>
  <c r="I26" i="1"/>
  <c r="I21" i="1"/>
  <c r="K16" i="1"/>
  <c r="K24" i="2"/>
  <c r="J16" i="1"/>
  <c r="J24" i="2"/>
  <c r="I55" i="1"/>
  <c r="I45" i="1"/>
  <c r="I35" i="1"/>
  <c r="I25" i="1"/>
  <c r="I20" i="1"/>
  <c r="K15" i="1"/>
  <c r="K22" i="2"/>
  <c r="J15" i="1"/>
  <c r="J22" i="2"/>
  <c r="I54" i="1"/>
  <c r="I53" i="1" s="1"/>
  <c r="I44" i="1"/>
  <c r="I43" i="1" s="1"/>
  <c r="F9" i="3" s="1"/>
  <c r="I34" i="1"/>
  <c r="I33" i="1" s="1"/>
  <c r="F8" i="3" s="1"/>
  <c r="I24" i="1"/>
  <c r="I23" i="1" s="1"/>
  <c r="I19" i="1"/>
  <c r="I18" i="1" s="1"/>
  <c r="I13" i="1"/>
  <c r="K14" i="1"/>
  <c r="K20" i="2"/>
  <c r="K18" i="2"/>
  <c r="J14" i="1"/>
  <c r="J20" i="2"/>
  <c r="J18" i="2"/>
  <c r="J54" i="1" l="1"/>
  <c r="J53" i="1" s="1"/>
  <c r="J44" i="1"/>
  <c r="J43" i="1" s="1"/>
  <c r="G9" i="3" s="1"/>
  <c r="J34" i="1"/>
  <c r="J33" i="1" s="1"/>
  <c r="G8" i="3" s="1"/>
  <c r="J24" i="1"/>
  <c r="J23" i="1" s="1"/>
  <c r="J19" i="1"/>
  <c r="J18" i="1" s="1"/>
  <c r="J13" i="1"/>
  <c r="K54" i="1"/>
  <c r="K44" i="1"/>
  <c r="K34" i="1"/>
  <c r="K24" i="1"/>
  <c r="K19" i="1"/>
  <c r="K13" i="1"/>
  <c r="F5" i="3"/>
  <c r="E7" i="4"/>
  <c r="D12" i="5" s="1"/>
  <c r="F6" i="3"/>
  <c r="F6" i="10" s="1"/>
  <c r="E8" i="4"/>
  <c r="D13" i="5" s="1"/>
  <c r="E23" i="4"/>
  <c r="E25" i="4" s="1"/>
  <c r="D9" i="5"/>
  <c r="E16" i="4"/>
  <c r="F10" i="3"/>
  <c r="J55" i="1"/>
  <c r="J45" i="1"/>
  <c r="J35" i="1"/>
  <c r="J25" i="1"/>
  <c r="J20" i="1"/>
  <c r="K55" i="1"/>
  <c r="K45" i="1"/>
  <c r="K35" i="1"/>
  <c r="K25" i="1"/>
  <c r="K20" i="1"/>
  <c r="J56" i="1"/>
  <c r="J46" i="1"/>
  <c r="J36" i="1"/>
  <c r="J26" i="1"/>
  <c r="J21" i="1"/>
  <c r="K56" i="1"/>
  <c r="K46" i="1"/>
  <c r="K36" i="1"/>
  <c r="K26" i="1"/>
  <c r="K21" i="1"/>
  <c r="K18" i="1" l="1"/>
  <c r="K23" i="1"/>
  <c r="K33" i="1"/>
  <c r="H8" i="3" s="1"/>
  <c r="K43" i="1"/>
  <c r="H9" i="3" s="1"/>
  <c r="K53" i="1"/>
  <c r="F16" i="4"/>
  <c r="D14" i="5"/>
  <c r="E17" i="11" s="1"/>
  <c r="E30" i="4"/>
  <c r="E16" i="11"/>
  <c r="D17" i="5"/>
  <c r="C34" i="12"/>
  <c r="F5" i="10"/>
  <c r="F7" i="10" s="1"/>
  <c r="F8" i="10" s="1"/>
  <c r="F7" i="3"/>
  <c r="F12" i="3" s="1"/>
  <c r="H5" i="3"/>
  <c r="G7" i="4"/>
  <c r="H6" i="3"/>
  <c r="H6" i="10" s="1"/>
  <c r="G8" i="4"/>
  <c r="G23" i="4"/>
  <c r="G25" i="4" s="1"/>
  <c r="F9" i="5"/>
  <c r="H10" i="3"/>
  <c r="G5" i="3"/>
  <c r="F7" i="4"/>
  <c r="E12" i="5" s="1"/>
  <c r="G6" i="3"/>
  <c r="G6" i="10" s="1"/>
  <c r="F8" i="4"/>
  <c r="E13" i="5" s="1"/>
  <c r="F23" i="4"/>
  <c r="F25" i="4" s="1"/>
  <c r="E9" i="5"/>
  <c r="G10" i="3"/>
  <c r="E14" i="5" l="1"/>
  <c r="F17" i="11" s="1"/>
  <c r="F30" i="4"/>
  <c r="F16" i="11"/>
  <c r="E17" i="5"/>
  <c r="D34" i="12"/>
  <c r="G5" i="10"/>
  <c r="G7" i="10" s="1"/>
  <c r="G8" i="10" s="1"/>
  <c r="G7" i="3"/>
  <c r="G12" i="3" s="1"/>
  <c r="F14" i="5"/>
  <c r="G17" i="11" s="1"/>
  <c r="G30" i="4"/>
  <c r="F13" i="5"/>
  <c r="F12" i="5"/>
  <c r="H5" i="10"/>
  <c r="H7" i="10" s="1"/>
  <c r="H8" i="10" s="1"/>
  <c r="H7" i="3"/>
  <c r="H12" i="3" s="1"/>
  <c r="F24" i="3"/>
  <c r="G16" i="4"/>
  <c r="D6" i="10" l="1"/>
  <c r="D7" i="10" s="1"/>
  <c r="D8" i="10" s="1"/>
  <c r="G75" i="1"/>
  <c r="G74" i="1" s="1"/>
  <c r="G24" i="1"/>
  <c r="C36" i="12"/>
  <c r="C35" i="12"/>
  <c r="E15" i="11"/>
  <c r="F9" i="10"/>
  <c r="H24" i="3"/>
  <c r="G16" i="11"/>
  <c r="F17" i="5"/>
  <c r="G24" i="3"/>
  <c r="C45" i="12" l="1"/>
  <c r="C46" i="12"/>
  <c r="G85" i="1"/>
  <c r="G84" i="1" s="1"/>
  <c r="G29" i="1"/>
  <c r="G28" i="1" s="1"/>
  <c r="C39" i="12"/>
  <c r="C40" i="12"/>
  <c r="D35" i="12"/>
  <c r="D36" i="12"/>
  <c r="D40" i="12"/>
  <c r="D39" i="12"/>
  <c r="F15" i="11"/>
  <c r="G9" i="10"/>
  <c r="G15" i="11"/>
  <c r="H9" i="10"/>
  <c r="F13" i="10"/>
  <c r="F10" i="10"/>
  <c r="D45" i="12" l="1"/>
  <c r="D46" i="12"/>
  <c r="H13" i="10"/>
  <c r="H10" i="10"/>
  <c r="G13" i="10"/>
  <c r="G10" i="10"/>
  <c r="D6" i="13"/>
  <c r="E6" i="13"/>
  <c r="E12" i="13" l="1"/>
  <c r="E14" i="13"/>
  <c r="D12" i="13"/>
  <c r="D14" i="13"/>
  <c r="E8" i="13"/>
  <c r="D8" i="13"/>
  <c r="L4" i="11"/>
  <c r="L6" i="11"/>
  <c r="L9" i="11"/>
  <c r="C11" i="11"/>
  <c r="E19" i="11"/>
  <c r="F19" i="11"/>
  <c r="G19" i="11"/>
  <c r="E20" i="11"/>
  <c r="F20" i="11"/>
  <c r="G20" i="11"/>
  <c r="C25" i="11"/>
  <c r="L25" i="11"/>
  <c r="C26" i="11"/>
  <c r="C27" i="11"/>
  <c r="C28" i="11"/>
  <c r="F13" i="3"/>
  <c r="G13" i="3"/>
  <c r="H13" i="3"/>
  <c r="F14" i="3"/>
  <c r="G14" i="3"/>
  <c r="H14" i="3"/>
  <c r="F15" i="3"/>
  <c r="G15" i="3"/>
  <c r="H15" i="3"/>
  <c r="F16" i="3"/>
  <c r="G16" i="3"/>
  <c r="H16" i="3"/>
  <c r="F17" i="3"/>
  <c r="G17" i="3"/>
  <c r="H17" i="3"/>
  <c r="E6" i="4"/>
  <c r="F6" i="4"/>
  <c r="G6" i="4"/>
  <c r="E11" i="4"/>
  <c r="F11" i="4"/>
  <c r="G11" i="4"/>
  <c r="E19" i="4"/>
  <c r="F19" i="4"/>
  <c r="G19" i="4"/>
  <c r="E27" i="4"/>
  <c r="F27" i="4"/>
  <c r="G27" i="4"/>
  <c r="E32" i="4"/>
  <c r="F32" i="4"/>
  <c r="G32" i="4"/>
  <c r="E33" i="4"/>
  <c r="F33" i="4"/>
  <c r="G33" i="4"/>
  <c r="E34" i="4"/>
  <c r="F34" i="4"/>
  <c r="G34" i="4"/>
  <c r="E36" i="4"/>
  <c r="F36" i="4"/>
  <c r="G36" i="4"/>
  <c r="D47" i="6"/>
  <c r="E47" i="6"/>
  <c r="C49" i="6"/>
  <c r="D49" i="6"/>
  <c r="E49" i="6"/>
  <c r="C51" i="6"/>
  <c r="D51" i="6"/>
  <c r="E51" i="6"/>
  <c r="D65" i="6"/>
  <c r="E65" i="6"/>
  <c r="D67" i="6"/>
  <c r="E67" i="6"/>
  <c r="C68" i="6"/>
  <c r="D68" i="6"/>
  <c r="E68" i="6"/>
  <c r="C69" i="6"/>
  <c r="D69" i="6"/>
  <c r="E69" i="6"/>
  <c r="D71" i="6"/>
  <c r="E71" i="6"/>
  <c r="C72" i="6"/>
  <c r="D72" i="6"/>
  <c r="E72" i="6"/>
  <c r="D74" i="6"/>
  <c r="E74" i="6"/>
  <c r="C75" i="6"/>
  <c r="D75" i="6"/>
  <c r="E75" i="6"/>
  <c r="C76" i="6"/>
  <c r="D76" i="6"/>
  <c r="E76" i="6"/>
  <c r="D87" i="6"/>
  <c r="E87" i="6"/>
  <c r="C89" i="6"/>
  <c r="D89" i="6"/>
  <c r="E89" i="6"/>
  <c r="C91" i="6"/>
  <c r="D91" i="6"/>
  <c r="E91" i="6"/>
  <c r="C117" i="6"/>
  <c r="D117" i="6"/>
  <c r="E117" i="6"/>
  <c r="F11" i="10"/>
  <c r="G11" i="10"/>
  <c r="H11" i="10"/>
  <c r="F16" i="10"/>
  <c r="G16" i="10"/>
  <c r="H16" i="10"/>
  <c r="D44" i="7"/>
  <c r="E44" i="7"/>
  <c r="C46" i="7"/>
  <c r="D46" i="7"/>
  <c r="E46" i="7"/>
  <c r="C48" i="7"/>
  <c r="D48" i="7"/>
  <c r="E48" i="7"/>
  <c r="D62" i="7"/>
  <c r="E62" i="7"/>
  <c r="D64" i="7"/>
  <c r="E64" i="7"/>
  <c r="C65" i="7"/>
  <c r="D65" i="7"/>
  <c r="E65" i="7"/>
  <c r="C66" i="7"/>
  <c r="D66" i="7"/>
  <c r="E66" i="7"/>
  <c r="D68" i="7"/>
  <c r="E68" i="7"/>
  <c r="C69" i="7"/>
  <c r="D69" i="7"/>
  <c r="E69" i="7"/>
  <c r="D71" i="7"/>
  <c r="E71" i="7"/>
  <c r="C72" i="7"/>
  <c r="D72" i="7"/>
  <c r="E72" i="7"/>
  <c r="C73" i="7"/>
  <c r="D73" i="7"/>
  <c r="E73" i="7"/>
  <c r="D84" i="7"/>
  <c r="E84" i="7"/>
  <c r="C86" i="7"/>
  <c r="D86" i="7"/>
  <c r="E86" i="7"/>
  <c r="C88" i="7"/>
  <c r="D88" i="7"/>
  <c r="E88" i="7"/>
  <c r="C106" i="7"/>
  <c r="D106" i="7"/>
  <c r="E106" i="7"/>
  <c r="D6" i="5"/>
  <c r="E6" i="5"/>
  <c r="F6" i="5"/>
  <c r="D18" i="5"/>
  <c r="E18" i="5"/>
  <c r="F18" i="5"/>
  <c r="D26" i="5"/>
  <c r="E26" i="5"/>
  <c r="F26" i="5"/>
  <c r="D35" i="5"/>
  <c r="E35" i="5"/>
  <c r="F35" i="5"/>
  <c r="D37" i="5"/>
  <c r="E37" i="5"/>
  <c r="F37" i="5"/>
  <c r="E38" i="5"/>
  <c r="F38" i="5"/>
  <c r="D39" i="5"/>
  <c r="E39" i="5"/>
  <c r="F39" i="5"/>
  <c r="C6" i="13"/>
  <c r="C8" i="13"/>
  <c r="C9" i="13"/>
  <c r="D9" i="13"/>
  <c r="E9" i="13"/>
  <c r="C10" i="13"/>
  <c r="D10" i="13"/>
  <c r="E10" i="13"/>
  <c r="C12" i="13"/>
  <c r="C13" i="13"/>
  <c r="D13" i="13"/>
  <c r="E13" i="13"/>
  <c r="C14" i="13"/>
  <c r="C15" i="13"/>
  <c r="D15" i="13"/>
  <c r="E15" i="13"/>
  <c r="C16" i="13"/>
  <c r="D16" i="13"/>
  <c r="E16" i="13"/>
  <c r="C19" i="13"/>
  <c r="D19" i="13"/>
  <c r="E19" i="13"/>
  <c r="D21" i="13"/>
  <c r="E21" i="13"/>
  <c r="D22" i="13"/>
  <c r="E22" i="13"/>
  <c r="D23" i="13"/>
  <c r="E23" i="13"/>
  <c r="C33" i="13"/>
  <c r="C37" i="13"/>
  <c r="D42" i="13"/>
  <c r="E42" i="13"/>
  <c r="D46" i="13"/>
  <c r="E46" i="13"/>
  <c r="D47" i="13"/>
  <c r="E47" i="13"/>
  <c r="D53" i="13"/>
  <c r="E53" i="13"/>
  <c r="D54" i="13"/>
  <c r="E54" i="13"/>
  <c r="D57" i="13"/>
  <c r="E57" i="13"/>
  <c r="D58" i="13"/>
  <c r="E58" i="13"/>
  <c r="D59" i="13"/>
  <c r="E59" i="13"/>
  <c r="D60" i="13"/>
  <c r="E60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74" authorId="0" shapeId="0" xr:uid="{00000000-0006-0000-0500-000001000000}">
      <text>
        <r>
          <rPr>
            <sz val="10"/>
            <color theme="1"/>
            <rFont val="Arial"/>
            <charset val="1"/>
          </rPr>
          <t/>
        </r>
      </text>
    </comment>
    <comment ref="C79" authorId="0" shapeId="0" xr:uid="{00000000-0006-0000-0500-000002000000}">
      <text>
        <r>
          <rPr>
            <sz val="10"/>
            <color theme="1"/>
            <rFont val="Arial"/>
            <charset val="1"/>
          </rPr>
          <t/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71" authorId="0" shapeId="0" xr:uid="{00000000-0006-0000-0600-000001000000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included lc of 125</t>
        </r>
      </text>
    </comment>
    <comment ref="C76" authorId="0" shapeId="0" xr:uid="{00000000-0006-0000-0600-000002000000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Is this the new debt or just revolver?</t>
        </r>
      </text>
    </comment>
  </commentList>
</comments>
</file>

<file path=xl/sharedStrings.xml><?xml version="1.0" encoding="utf-8"?>
<sst xmlns="http://schemas.openxmlformats.org/spreadsheetml/2006/main" count="676" uniqueCount="388">
  <si>
    <t>Feeder Tab</t>
  </si>
  <si>
    <t>Case</t>
  </si>
  <si>
    <t>Description</t>
  </si>
  <si>
    <t>Source</t>
  </si>
  <si>
    <t>Case 1</t>
  </si>
  <si>
    <t>Base</t>
  </si>
  <si>
    <t>Case 2</t>
  </si>
  <si>
    <t>Upside</t>
  </si>
  <si>
    <t>Case 3</t>
  </si>
  <si>
    <t>Downside</t>
  </si>
  <si>
    <t>Actual</t>
  </si>
  <si>
    <t>Expected</t>
  </si>
  <si>
    <t>FYE, $mn's</t>
  </si>
  <si>
    <t>Revenue</t>
  </si>
  <si>
    <t>Revenue Growth</t>
  </si>
  <si>
    <t>COGS</t>
  </si>
  <si>
    <t>COGS (% of revenue)</t>
  </si>
  <si>
    <t>SG&amp;A</t>
  </si>
  <si>
    <t>SG&amp;A (% of Revenue)</t>
  </si>
  <si>
    <t xml:space="preserve">R&amp;D </t>
  </si>
  <si>
    <t>R&amp;D (% of Revenue)</t>
  </si>
  <si>
    <t>Restructuring Charges</t>
  </si>
  <si>
    <t>Restructuring Charges (% of revenue)</t>
  </si>
  <si>
    <t xml:space="preserve">D&amp;A </t>
  </si>
  <si>
    <t>D&amp;A (% of PPE)</t>
  </si>
  <si>
    <t>Days</t>
  </si>
  <si>
    <t>Days Inventory Outstanding (DSO)</t>
  </si>
  <si>
    <t>Days Sales Outstanding (DSO)</t>
  </si>
  <si>
    <t>Days Payable Outstanding (DPO)</t>
  </si>
  <si>
    <t>Capex</t>
  </si>
  <si>
    <t>Additional Capex</t>
  </si>
  <si>
    <t>Accrued Expenses</t>
  </si>
  <si>
    <t>PPE Build</t>
  </si>
  <si>
    <t>PPE Beginning</t>
  </si>
  <si>
    <t>(+) Capex</t>
  </si>
  <si>
    <t>(-) D&amp;A</t>
  </si>
  <si>
    <t>PPE Ending</t>
  </si>
  <si>
    <t xml:space="preserve">Rationale </t>
  </si>
  <si>
    <t xml:space="preserve">Revenue- Europe </t>
  </si>
  <si>
    <t xml:space="preserve">of total revenue </t>
  </si>
  <si>
    <t>*case explicitly states that European manufacturing facilities account for "roughly 20% of SCI's total production.</t>
  </si>
  <si>
    <t xml:space="preserve">% YoY change </t>
  </si>
  <si>
    <t>*Facility offline for approximately 6 months. Assumes some residual Q4 ramp-up as the facility comes back online in late 2016, but the first half is essentially zero European production. *Facility back at full capacity for the full year. The +85% off the depressed 2016 base gets EU revenue back to approximately 90% of its 2015 level, reflecting a near-full normalization. *Steady state growth in line with broader European industrial demand recovery and modest additive price increases as oil prices stabilize in the $60+ range.</t>
  </si>
  <si>
    <t>*Facility offline for approximately 5 months rather than the full 6, with a stronger Q4 ramp as regulatory approvals come through ahead of schedule. *Facility returns to full capacity immediately at the start of 2017 with no utilization lag. The doubling off the 2016 base gets EU revenue back to approximately 2014-2015 levels. *Above-market growth reflecting European industrial recovery, stronger additive pricing as oil stabilizes above $60, and potential minor market share gains from competitors</t>
  </si>
  <si>
    <t>*Facility is offline for the full 6 months with essentially no meaningful Q4 contribution, either due to regulatory approval delays on the environmental upgrades or construction. *Facility comes back online but at approximately 85% utilization rather than full capacity, reflecting either lingering operational issues post-restart or the slower-than-expected. *Gradual recovery toward normalized levels as the remaining utilization gap closes, but below-market growth reflecting the lasting competitive damage</t>
  </si>
  <si>
    <t xml:space="preserve">Revenue- Rest of the World </t>
  </si>
  <si>
    <t>*case explicitly states that Rest of the World manufacturing facilities account for "roughly 80% of SCI's total production.</t>
  </si>
  <si>
    <t>*Global demand remains soft as China slowdown persists into 2016 and additive price recovery lags the oil price rebound. The modest decline reflects stabilization rather than further deterioration. *Oil price recovery to ~$60/barrel begins flowing through to additive pricing with a one-year lag. Port Arthur upgrades complete and efficiency gains begin contributing to volumes. *Normalized growth reflecting stable oil prices, full Port Arthur efficiency contribution.</t>
  </si>
  <si>
    <t>* Facility offline for approximately 5 months rather than the full 6, with a stronger Q4 ramp as regulatory approvals come through ahead of schedule. *facility returns to full capacity immediately at the start of 2017 with no utilization lag. The doubling off the 2016 base gets EU revenue back to approximately 2014-2015 levels — this is normalization. *Above-market growth reflecting European industrial recovery, stronger additive pricing as oil stabilizes above $60.</t>
  </si>
  <si>
    <t xml:space="preserve"> </t>
  </si>
  <si>
    <t xml:space="preserve">*China slowdown persists deeper into 2016 than consensus expects, consistent with the case noting that global industrial production was already negative over the trailing 12 months. *Oil price recovery translates only partially into additive pricing as competitive dynamics among the oligopoly prevent full pass-through. *Below-market growth as pricing power remains constrained and the business operates below its potential efficiency levels. </t>
  </si>
  <si>
    <t xml:space="preserve">Total Revenue </t>
  </si>
  <si>
    <t>Exhibit 1: Specialty Chemicals, Inc. Income Statement</t>
  </si>
  <si>
    <t>Projections</t>
  </si>
  <si>
    <t>CONSOLIDATED STATEMENTS OF OPERATIONS (USD  $)</t>
  </si>
  <si>
    <t>Fiscal Year End</t>
  </si>
  <si>
    <t>In Millions, except Per Share data</t>
  </si>
  <si>
    <t>Revenues</t>
  </si>
  <si>
    <t>Cost of sales</t>
  </si>
  <si>
    <t>Gross profit</t>
  </si>
  <si>
    <t>Selling and administrative expenses</t>
  </si>
  <si>
    <t>Research, testing and development expenses</t>
  </si>
  <si>
    <t>Restructuring and impairment charges</t>
  </si>
  <si>
    <t>Other income - net</t>
  </si>
  <si>
    <t>Tax Rate</t>
  </si>
  <si>
    <t>Operating income</t>
  </si>
  <si>
    <t>Interest income</t>
  </si>
  <si>
    <t>Interest expense</t>
  </si>
  <si>
    <t>Income before income taxes</t>
  </si>
  <si>
    <t>Provision for income taxes</t>
  </si>
  <si>
    <t>Net income (loss)</t>
  </si>
  <si>
    <t>CAPEX</t>
  </si>
  <si>
    <t>D&amp;A</t>
  </si>
  <si>
    <t>EBITDA</t>
  </si>
  <si>
    <t>Exhibit 2: Specialty Chemicals, Inc. Balance Sheet</t>
  </si>
  <si>
    <t>CONSOLIDATED BALANCE SHEETS (US$)</t>
  </si>
  <si>
    <t>As of</t>
  </si>
  <si>
    <t>In Millions</t>
  </si>
  <si>
    <t>Dec. 31, 2014</t>
  </si>
  <si>
    <t>Dec. 31, 2015</t>
  </si>
  <si>
    <t>ASSETS</t>
  </si>
  <si>
    <t>Cash and cash equivalents</t>
  </si>
  <si>
    <t>Receivables</t>
  </si>
  <si>
    <t>Inventories</t>
  </si>
  <si>
    <t>Deferred income taxes</t>
  </si>
  <si>
    <t>Other current assets</t>
  </si>
  <si>
    <t>Total current assets</t>
  </si>
  <si>
    <t>Property and equipment - at cost</t>
  </si>
  <si>
    <t>Less accumulated depreciation</t>
  </si>
  <si>
    <t>Property and equipment - net</t>
  </si>
  <si>
    <t>Goodwill</t>
  </si>
  <si>
    <t>Intangible assets - net</t>
  </si>
  <si>
    <t>Other assets</t>
  </si>
  <si>
    <t>TOTAL</t>
  </si>
  <si>
    <t>LIABILITIES AND TOTAL EQUITY</t>
  </si>
  <si>
    <t>Current portion of long-term debt</t>
  </si>
  <si>
    <t>Accounts payable</t>
  </si>
  <si>
    <t>Accrued expenses and other current liabilities</t>
  </si>
  <si>
    <t>Total current liabilities</t>
  </si>
  <si>
    <t>Long-term debt</t>
  </si>
  <si>
    <t>Noncurrent liabilities</t>
  </si>
  <si>
    <t>Total liabilities</t>
  </si>
  <si>
    <t>Common Shares + Paid-in-Capital</t>
  </si>
  <si>
    <t>Retained earnings</t>
  </si>
  <si>
    <t>Total equity</t>
  </si>
  <si>
    <t>Check</t>
  </si>
  <si>
    <t>Specialty Chemical, Inc.</t>
  </si>
  <si>
    <t>CONSOLIDATED STATEMENTS OF CASH FLOWS (USD  $)</t>
  </si>
  <si>
    <t>Fiscal Year Ended</t>
  </si>
  <si>
    <t>OPERATING ACTIVITIES</t>
  </si>
  <si>
    <t>Adjustments to reconcile net income (loss) to cash provided by operating activities:</t>
  </si>
  <si>
    <t>Depreciation and amortization</t>
  </si>
  <si>
    <t>(Gain) loss from sales of assets</t>
  </si>
  <si>
    <t>Change in current assets and liabilities, net of acquisitions:</t>
  </si>
  <si>
    <t>Increase in Receivables</t>
  </si>
  <si>
    <t>Increase in Inventories</t>
  </si>
  <si>
    <t>Accounts payable, accrued expenses and other current liabilities</t>
  </si>
  <si>
    <t>Inc in other current assets</t>
  </si>
  <si>
    <t>Cash from Increase (Decrease) in Operating Capital</t>
  </si>
  <si>
    <t>Total operating activities</t>
  </si>
  <si>
    <t>INVESTING ACTIVITIES</t>
  </si>
  <si>
    <t>Capital expenditures</t>
  </si>
  <si>
    <t>Other items - net</t>
  </si>
  <si>
    <t>Total investing activities</t>
  </si>
  <si>
    <t>FINANCING ACTIVITIES</t>
  </si>
  <si>
    <t>Changes in short-term debt - net (RCF)</t>
  </si>
  <si>
    <t>Repayments of long-term debt</t>
  </si>
  <si>
    <t>Proceeds from the issuance of long-term debt</t>
  </si>
  <si>
    <t>Other noncurrent liabilities</t>
  </si>
  <si>
    <t>Dividends to SCI shareholders</t>
  </si>
  <si>
    <t>Dividends to noncontrolling interests</t>
  </si>
  <si>
    <t>Common shares issued/purchased</t>
  </si>
  <si>
    <t>Proceeds from the exercise of stock options</t>
  </si>
  <si>
    <t>Total financing activities</t>
  </si>
  <si>
    <t>Net (decrease) increase in cash and cash equivalents</t>
  </si>
  <si>
    <t>Cash and cash equivalents at the beginning of year</t>
  </si>
  <si>
    <t>Cash and cash equivalents at the end of year</t>
  </si>
  <si>
    <t>Exhibit 3: Specialty Chemicals, Inc. Capitalization Table</t>
  </si>
  <si>
    <t>Borrower: Specialized Chemicals, Inc (SCI)</t>
  </si>
  <si>
    <t>Capital Structure</t>
  </si>
  <si>
    <t>Financials as of:</t>
  </si>
  <si>
    <t>Today's date:</t>
  </si>
  <si>
    <t>10 Yr Treasury</t>
  </si>
  <si>
    <t>LTM EBITDA</t>
  </si>
  <si>
    <t>Leverage ratio</t>
  </si>
  <si>
    <t>Leverage</t>
  </si>
  <si>
    <t>Secured Debt</t>
  </si>
  <si>
    <t>Secured?</t>
  </si>
  <si>
    <t>Gtys?</t>
  </si>
  <si>
    <t>Maturity</t>
  </si>
  <si>
    <t>Issue Amt.</t>
  </si>
  <si>
    <t>Out Amt.</t>
  </si>
  <si>
    <t>Face</t>
  </si>
  <si>
    <t>Market price</t>
  </si>
  <si>
    <t>YTM</t>
  </si>
  <si>
    <t>Market Value</t>
  </si>
  <si>
    <t>Market</t>
  </si>
  <si>
    <t>Coupon/ LIBOR Spread*</t>
  </si>
  <si>
    <t>Annual Interest Expense</t>
  </si>
  <si>
    <t xml:space="preserve">Interest cov. ratio </t>
  </si>
  <si>
    <t>Revolving Credit Facility</t>
  </si>
  <si>
    <t>Y</t>
  </si>
  <si>
    <t>*</t>
  </si>
  <si>
    <t xml:space="preserve">1st Lien Term Loan B </t>
  </si>
  <si>
    <t>2nd Lien Term Loan</t>
  </si>
  <si>
    <t xml:space="preserve">  Total Secured Debt</t>
  </si>
  <si>
    <t>Unsecured Debt</t>
  </si>
  <si>
    <t>Senior 11.50% Notes</t>
  </si>
  <si>
    <t>N</t>
  </si>
  <si>
    <t>NA</t>
  </si>
  <si>
    <t xml:space="preserve">  Total Unsecured Debt</t>
  </si>
  <si>
    <t>Total Debt</t>
  </si>
  <si>
    <t>Less: Cash</t>
  </si>
  <si>
    <t>Net Debt</t>
  </si>
  <si>
    <t>Liquidity</t>
  </si>
  <si>
    <t>Total Revolver</t>
  </si>
  <si>
    <t>Less:  Funds Drawn</t>
  </si>
  <si>
    <t>Less: Outstanding LCs</t>
  </si>
  <si>
    <t xml:space="preserve">   Availability</t>
  </si>
  <si>
    <t>Cash on Hand</t>
  </si>
  <si>
    <t xml:space="preserve">  Current Liquidty</t>
  </si>
  <si>
    <t>Required Minimum Cash</t>
  </si>
  <si>
    <t xml:space="preserve">LIBOR Projections as of March </t>
  </si>
  <si>
    <t>Rate</t>
  </si>
  <si>
    <t>3/15/2016 3-month</t>
  </si>
  <si>
    <t>3/15/2016 6-month</t>
  </si>
  <si>
    <t>3/15/2016 12-month</t>
  </si>
  <si>
    <t>3/15/2017 3-month</t>
  </si>
  <si>
    <t>3/15/2017 6-month</t>
  </si>
  <si>
    <t>3/15/2017 12-month</t>
  </si>
  <si>
    <t>Cash Schedule</t>
  </si>
  <si>
    <t> </t>
  </si>
  <si>
    <t>Projected</t>
  </si>
  <si>
    <t>Cash Balance</t>
  </si>
  <si>
    <t>Balance BOY</t>
  </si>
  <si>
    <t>Interest Income</t>
  </si>
  <si>
    <t>Balance EOY</t>
  </si>
  <si>
    <t>Debt Schedule</t>
  </si>
  <si>
    <t>Cash BOY</t>
  </si>
  <si>
    <t>(-) Restricted Cash</t>
  </si>
  <si>
    <t>Excess Cash at BOY</t>
  </si>
  <si>
    <t>(+) Remaining Cashflows Available for Debt Repayment</t>
  </si>
  <si>
    <t>Cash Available (Needed) to Pay Down (Draw) Revolver</t>
  </si>
  <si>
    <t>Revolver Undrawn Balance BOY</t>
  </si>
  <si>
    <t>Revolver Undrawn Balance EOY</t>
  </si>
  <si>
    <t>Revolver Drawn Balance BOY</t>
  </si>
  <si>
    <t>Increases/(Decreases) in Drawn Balance</t>
  </si>
  <si>
    <t>Revolver Drawn Balance EOY</t>
  </si>
  <si>
    <t xml:space="preserve">Super Senior Debt </t>
  </si>
  <si>
    <t>Mandatory Repayment</t>
  </si>
  <si>
    <t>Mandatory Paydown %</t>
  </si>
  <si>
    <t>Interest Expense</t>
  </si>
  <si>
    <t xml:space="preserve">RCF </t>
  </si>
  <si>
    <t>1L TLB</t>
  </si>
  <si>
    <t>2L TL</t>
  </si>
  <si>
    <t>SUN</t>
  </si>
  <si>
    <t>Total Interest Expense</t>
  </si>
  <si>
    <t xml:space="preserve">o </t>
  </si>
  <si>
    <t>Exhibit 3: Specialty Chemicals, Inc. Pro Forma Capitalization Table</t>
  </si>
  <si>
    <t>Debt Schedule (Pro Forma)</t>
  </si>
  <si>
    <t>Exhibit 4: Lubricating Oil Additives within the Specialty Chemicals Industry</t>
  </si>
  <si>
    <t>Panel A</t>
  </si>
  <si>
    <t>Panel B</t>
  </si>
  <si>
    <t>Beginning</t>
  </si>
  <si>
    <t>Ending</t>
  </si>
  <si>
    <t>Average</t>
  </si>
  <si>
    <t>Historical Oil Prices</t>
  </si>
  <si>
    <t>Assumed Projections</t>
  </si>
  <si>
    <t>Exhibit 5: Average Effective High-Yield Bond Yields, June 15, 2011 -- March 15, 2016</t>
  </si>
  <si>
    <t>($ in millions)</t>
  </si>
  <si>
    <t>Operating Summary</t>
  </si>
  <si>
    <t>Total Revenue</t>
  </si>
  <si>
    <t>Cost of Goods Sold</t>
  </si>
  <si>
    <t>Gross Profit</t>
  </si>
  <si>
    <t>% Margin</t>
  </si>
  <si>
    <t>EBITDA - Capex</t>
  </si>
  <si>
    <t>Balance Sheet Summary</t>
  </si>
  <si>
    <t>Cash</t>
  </si>
  <si>
    <t>Total Assets</t>
  </si>
  <si>
    <t>Total Liabilities</t>
  </si>
  <si>
    <t>Total Equity</t>
  </si>
  <si>
    <t>Total Capitalization</t>
  </si>
  <si>
    <t>Leverage and Coverage ratios</t>
  </si>
  <si>
    <t>EBITDA/Interest</t>
  </si>
  <si>
    <t>(EBITDA-Capex)/Interest</t>
  </si>
  <si>
    <t>Total Debt/LTM EBITDA</t>
  </si>
  <si>
    <t>Net Debt/LTM EBITDA</t>
  </si>
  <si>
    <t>DCF</t>
  </si>
  <si>
    <t>FYE16</t>
  </si>
  <si>
    <t>FYE17</t>
  </si>
  <si>
    <t>FYE18</t>
  </si>
  <si>
    <t>WACC Calculation:</t>
  </si>
  <si>
    <t>PV of free cash flows</t>
  </si>
  <si>
    <t>% Equity</t>
  </si>
  <si>
    <t>Period</t>
  </si>
  <si>
    <t>Cost of Equity</t>
  </si>
  <si>
    <t>FCF in 2018</t>
  </si>
  <si>
    <t>% Debt</t>
  </si>
  <si>
    <t>Terminal Value in 2018</t>
  </si>
  <si>
    <t>Cost of Debt</t>
  </si>
  <si>
    <t>PV in 2018 of terminal value</t>
  </si>
  <si>
    <t>Enterprise Value</t>
  </si>
  <si>
    <t xml:space="preserve">WACC </t>
  </si>
  <si>
    <t>WACC (cost of capital)</t>
  </si>
  <si>
    <t>Long term growth (g)</t>
  </si>
  <si>
    <t>Cost of Debt Calculation:</t>
  </si>
  <si>
    <t xml:space="preserve">% of Debt </t>
  </si>
  <si>
    <t xml:space="preserve">Interest Rate </t>
  </si>
  <si>
    <t xml:space="preserve">Revolver </t>
  </si>
  <si>
    <t>Free Cash Flow Calculation</t>
  </si>
  <si>
    <t xml:space="preserve">1st Lien TLB </t>
  </si>
  <si>
    <t xml:space="preserve">2L Term Loan </t>
  </si>
  <si>
    <t>Less: Increases in w/c assets</t>
  </si>
  <si>
    <t xml:space="preserve">Pre Tax Cost of Debt </t>
  </si>
  <si>
    <t>Plus: Increases in w/c liabilities</t>
  </si>
  <si>
    <t xml:space="preserve">Tax Rate </t>
  </si>
  <si>
    <t>less: capital expenditures</t>
  </si>
  <si>
    <t xml:space="preserve">After Tax Cost of Debt </t>
  </si>
  <si>
    <t>less: taxes</t>
  </si>
  <si>
    <t>FCFC (unlevered)</t>
  </si>
  <si>
    <t xml:space="preserve">Cost of Equity Calculation </t>
  </si>
  <si>
    <t>Risk Free Rate</t>
  </si>
  <si>
    <t xml:space="preserve">ERP </t>
  </si>
  <si>
    <t>Beta (Assumed)</t>
  </si>
  <si>
    <t xml:space="preserve">Gordon Growth Method </t>
  </si>
  <si>
    <t xml:space="preserve">Terminal Value </t>
  </si>
  <si>
    <t>Implied Market Cap</t>
  </si>
  <si>
    <t>PV of Free Cash Flows</t>
  </si>
  <si>
    <t xml:space="preserve">PV of Terminal Value </t>
  </si>
  <si>
    <t xml:space="preserve">Implied Enterprise Value </t>
  </si>
  <si>
    <t>Details</t>
  </si>
  <si>
    <t>Template</t>
  </si>
  <si>
    <t>Capital IQ Default Comps</t>
  </si>
  <si>
    <t>Currency:</t>
  </si>
  <si>
    <t>US Dollar</t>
  </si>
  <si>
    <t>As-Of Date</t>
  </si>
  <si>
    <t>Company Comp Set</t>
  </si>
  <si>
    <t>Company Name</t>
  </si>
  <si>
    <t>TEV / Total Revenues LTM</t>
  </si>
  <si>
    <t>TEV / EBITDA LTM</t>
  </si>
  <si>
    <t>EBITDA Margin</t>
  </si>
  <si>
    <t>TEV / EBIT LTM</t>
  </si>
  <si>
    <t>P / Diluted EPS before Extra LTM</t>
  </si>
  <si>
    <t>P / TangBV LTM</t>
  </si>
  <si>
    <t>NTM TEV / Forward Total Revenue</t>
  </si>
  <si>
    <t>NTM TEV / Forward EBITDA</t>
  </si>
  <si>
    <t>Forward EBITDA Margin</t>
  </si>
  <si>
    <t>NTM Forward P / E</t>
  </si>
  <si>
    <t>Celanese Corporation</t>
  </si>
  <si>
    <t>Albemarle Corporation</t>
  </si>
  <si>
    <t>NM</t>
  </si>
  <si>
    <t>Westlake Chemical Corp</t>
  </si>
  <si>
    <t>The Valspar Corporation</t>
  </si>
  <si>
    <t>Eastman Chiemcal Co.</t>
  </si>
  <si>
    <t>Cytec Industries Inc.</t>
  </si>
  <si>
    <t>Ecolab Inc.</t>
  </si>
  <si>
    <t>Huntsman Corporation</t>
  </si>
  <si>
    <t>W.R. Grace &amp; Co.</t>
  </si>
  <si>
    <t>Axiall Corporation</t>
  </si>
  <si>
    <t>Ashland Inc.</t>
  </si>
  <si>
    <t>Summary Statistics</t>
  </si>
  <si>
    <t>High</t>
  </si>
  <si>
    <t>Low</t>
  </si>
  <si>
    <t>Mean</t>
  </si>
  <si>
    <t>Median</t>
  </si>
  <si>
    <t>75th Percentile</t>
  </si>
  <si>
    <t>25th Percentile</t>
  </si>
  <si>
    <t>SCI Figures</t>
  </si>
  <si>
    <t>2016E</t>
  </si>
  <si>
    <t>2017E</t>
  </si>
  <si>
    <t>Adjusted EBITDA</t>
  </si>
  <si>
    <t>Adjusted EBITDA Margin</t>
  </si>
  <si>
    <t>Valuation</t>
  </si>
  <si>
    <t>TEV / EBITDA Median Percentile</t>
  </si>
  <si>
    <t>TEV / EBITDA 75th Percentile</t>
  </si>
  <si>
    <t>Specialty Chemical Inc</t>
  </si>
  <si>
    <t>Waterfall Model as of March 2016</t>
  </si>
  <si>
    <t>($ in USD millions)</t>
  </si>
  <si>
    <t>Run Rate EBITDA</t>
  </si>
  <si>
    <t>EBITDA Multiple</t>
  </si>
  <si>
    <t>TEV</t>
  </si>
  <si>
    <t>Plus: Cash</t>
  </si>
  <si>
    <t>Distributable Value</t>
  </si>
  <si>
    <t>Pro Forma Debt Capacity</t>
  </si>
  <si>
    <t>Cash Interest</t>
  </si>
  <si>
    <t>Leverage Ratio</t>
  </si>
  <si>
    <t>7.5x Max Leverage Ratio if 25% of Revolver Drawn</t>
  </si>
  <si>
    <t>Interest Coverage Ratio</t>
  </si>
  <si>
    <t>Free Cash Flow (EBITDA-Interest-Capex)</t>
  </si>
  <si>
    <t>Pro Forma Equity Value</t>
  </si>
  <si>
    <t>Plan Value of Equity (Distributable Value Less Debt)</t>
  </si>
  <si>
    <t>Amount of New Money ($)</t>
  </si>
  <si>
    <t xml:space="preserve">Who is funding the New Money? </t>
  </si>
  <si>
    <t>Equity Ownership by New Money (%)</t>
  </si>
  <si>
    <t>Remaining Equity Available to Creditors ($)</t>
  </si>
  <si>
    <t>Equals Plan Value Less Value Attributable to New Money</t>
  </si>
  <si>
    <t>Remaining Equity Available to Creditors (%)</t>
  </si>
  <si>
    <t>Allocation of Value Available to First Lien Creditors</t>
  </si>
  <si>
    <t>ABL</t>
  </si>
  <si>
    <t>1 L TL B</t>
  </si>
  <si>
    <t>Total 1L Debt</t>
  </si>
  <si>
    <t>Recovery Rate for 1L Creditors</t>
  </si>
  <si>
    <t>Allocation of Value Available to Second Lien Creditors</t>
  </si>
  <si>
    <t>2L Notes</t>
  </si>
  <si>
    <t>Total 2L Debt</t>
  </si>
  <si>
    <t>Allocation of Equity (if any) to 2Ls (value at plan) ($)</t>
  </si>
  <si>
    <t>Allocation of Equity (if any) to 2Ls (value at plan) (%)</t>
  </si>
  <si>
    <t>Recovery Rate for 2L Creditors</t>
  </si>
  <si>
    <t>Allocation of Value Available to Unsecured Creditors</t>
  </si>
  <si>
    <t>Take-Back Debt, if any</t>
  </si>
  <si>
    <t>Allocation of Equity to Notes ($)</t>
  </si>
  <si>
    <t>Note that this does not include the new money investment</t>
  </si>
  <si>
    <t>Allocation of Equity to Notes (%)</t>
  </si>
  <si>
    <t>Recovery Rate for Noteholders (at plan value)</t>
  </si>
  <si>
    <t>How does this compare to the trading price of the bonds?</t>
  </si>
  <si>
    <t>Allocation of Value Available to Equity Holders</t>
  </si>
  <si>
    <t>Allocation of Equity to Equity ($)</t>
  </si>
  <si>
    <t>Allocation of Equity to Equity (%)</t>
  </si>
  <si>
    <t>Less: Value Contributions by Sponsors if any</t>
  </si>
  <si>
    <t>Allocation of Value to New Money</t>
  </si>
  <si>
    <t>Amount of Equity Allocated to New Money (%)</t>
  </si>
  <si>
    <t>Implied Equity Capitalization</t>
  </si>
  <si>
    <t>Amount of new money divided by equity ownership percentage</t>
  </si>
  <si>
    <t>Pro Forma Equity Ownership</t>
  </si>
  <si>
    <t>New Money</t>
  </si>
  <si>
    <t>Unsecured Creditors</t>
  </si>
  <si>
    <t>Sponsors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</si>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</sst>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64" formatCode="_(\$* #,##0.00_);_(\$* \(#,##0.00\);_(\$* \-??_);_(@_)"/>
    <numFmt numFmtId="165" formatCode="#,##0_);\(#,##0\);\–_);General_)"/>
    <numFmt numFmtId="166" formatCode="&quot;FY&quot;yyyy\A"/>
    <numFmt numFmtId="167" formatCode="&quot;FY&quot;yyyy\E"/>
    <numFmt numFmtId="168" formatCode="\$#,##0.0_);&quot;($&quot;#,##0.0\);\–_);General_)"/>
    <numFmt numFmtId="169" formatCode="#,##0.0_);\(#,##0.0\);\–_);General_)"/>
    <numFmt numFmtId="170" formatCode="#,##0.0%_);\(#,##0.0%\);0.0%_);General_%_)"/>
    <numFmt numFmtId="171" formatCode="\$#,##0_);&quot;($&quot;#,##0\);\–_);General_)"/>
    <numFmt numFmtId="172" formatCode="0.0"/>
    <numFmt numFmtId="173" formatCode="_(* #,##0.0_);_(* \(#,##0.0\);_(* \-??_);_(@_)"/>
    <numFmt numFmtId="174" formatCode="\$#,##0.00"/>
    <numFmt numFmtId="175" formatCode="_(\$* #,##0.0_);_(\$* \(#,##0.0\);_(\$* \-??_);_(@_)"/>
    <numFmt numFmtId="176" formatCode="0.0%"/>
    <numFmt numFmtId="177" formatCode="0.0_);\(0.0\)"/>
    <numFmt numFmtId="178" formatCode="_(* #,##0.00_);_(* \(#,##0.00\);_(* \-??_);_(@_)"/>
    <numFmt numFmtId="179" formatCode="_(\$* #,##0.0_);_(\$* \(#,##0.0\);_(\$* \-?_);_(@_)"/>
    <numFmt numFmtId="180" formatCode="_(* #,##0.0_);_(* \(#,##0.0\);_(* \-?_);_(@_)"/>
    <numFmt numFmtId="181" formatCode="#.#\x"/>
    <numFmt numFmtId="182" formatCode="\$#,##0.0_);&quot;($&quot;#,##0.0\)"/>
    <numFmt numFmtId="183" formatCode="0.0\x"/>
    <numFmt numFmtId="184" formatCode="#,##0.0\x_)"/>
    <numFmt numFmtId="185" formatCode="&quot;L+ &quot;0.00%"/>
    <numFmt numFmtId="186" formatCode="\$#,##0.00_);&quot;($&quot;#,##0.00\)"/>
    <numFmt numFmtId="187" formatCode="#,##0\x_)"/>
    <numFmt numFmtId="188" formatCode="#,##0.0_);\(#,##0.0\)"/>
    <numFmt numFmtId="189" formatCode="\$#,##0.00_);[Red]&quot;($&quot;#,##0.00\)"/>
    <numFmt numFmtId="190" formatCode="_(\$* #,##0_);_(\$* \(#,##0\);_(\$* \-??_);_(@_)"/>
    <numFmt numFmtId="191" formatCode="\$#,##0_);&quot;($&quot;#,##0\)"/>
    <numFmt numFmtId="192" formatCode="#,##0.00\x_)"/>
    <numFmt numFmtId="193" formatCode="#,##0.0%_);\(#,##0.0%\)"/>
    <numFmt numFmtId="194" formatCode="0.00_);\(0.00\)"/>
    <numFmt numFmtId="195" formatCode="_(* #,##0.0_);_(* \(#,##0.0\);_(* &quot;-&quot;?_);_(@_)"/>
  </numFmts>
  <fonts count="77">
    <font>
      <sz val="10"/>
      <color theme="1"/>
      <name val="Arial"/>
      <charset val="1"/>
    </font>
    <font>
      <sz val="10"/>
      <color theme="1"/>
      <name val="Arial"/>
      <family val="2"/>
      <charset val="1"/>
    </font>
    <font>
      <sz val="10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b/>
      <sz val="12"/>
      <color rgb="FF0000FF"/>
      <name val="Times New Roman"/>
      <family val="1"/>
      <charset val="1"/>
    </font>
    <font>
      <sz val="12"/>
      <color rgb="FF0000FF"/>
      <name val="Times New Roman"/>
      <family val="1"/>
      <charset val="1"/>
    </font>
    <font>
      <sz val="12"/>
      <color theme="1"/>
      <name val="Times New Roman"/>
      <charset val="1"/>
    </font>
    <font>
      <b/>
      <sz val="12"/>
      <color theme="1"/>
      <name val="Times New Roman"/>
      <charset val="1"/>
    </font>
    <font>
      <sz val="12"/>
      <color rgb="FF3333FF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12"/>
      <color theme="9"/>
      <name val="Times New Roman"/>
      <family val="1"/>
      <charset val="1"/>
    </font>
    <font>
      <sz val="12"/>
      <color rgb="FF0070C0"/>
      <name val="Times New Roman"/>
      <family val="1"/>
      <charset val="1"/>
    </font>
    <font>
      <sz val="12"/>
      <color rgb="FF0171C0"/>
      <name val="Times New Roman"/>
      <family val="1"/>
      <charset val="1"/>
    </font>
    <font>
      <sz val="10"/>
      <color rgb="FF0070C0"/>
      <name val="Times New Roman"/>
      <family val="1"/>
      <charset val="1"/>
    </font>
    <font>
      <sz val="12"/>
      <color theme="4"/>
      <name val="Times New Roman"/>
      <family val="1"/>
      <charset val="1"/>
    </font>
    <font>
      <b/>
      <sz val="12"/>
      <color rgb="FF3333FF"/>
      <name val="Times New Roman"/>
      <family val="1"/>
      <charset val="1"/>
    </font>
    <font>
      <b/>
      <sz val="10"/>
      <color theme="1"/>
      <name val="Arial"/>
      <charset val="1"/>
    </font>
    <font>
      <sz val="10"/>
      <color rgb="FFFF0000"/>
      <name val="Arial"/>
      <charset val="1"/>
    </font>
    <font>
      <sz val="10"/>
      <color theme="1"/>
      <name val="Times New Roman"/>
      <charset val="1"/>
    </font>
    <font>
      <sz val="10"/>
      <color rgb="FF3333FF"/>
      <name val="Times New Roman"/>
      <charset val="1"/>
    </font>
    <font>
      <b/>
      <sz val="12"/>
      <color rgb="FF000000"/>
      <name val="Times New Roman"/>
      <charset val="1"/>
    </font>
    <font>
      <sz val="10"/>
      <color rgb="FFFF0000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u/>
      <sz val="10"/>
      <color theme="1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b/>
      <sz val="10"/>
      <color theme="1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2"/>
      <color rgb="FF000000"/>
      <name val="Times New Roman"/>
      <charset val="1"/>
    </font>
    <font>
      <sz val="10"/>
      <color rgb="FFFF0000"/>
      <name val="Arial"/>
      <family val="2"/>
      <charset val="1"/>
    </font>
    <font>
      <sz val="12"/>
      <color rgb="FFFF0000"/>
      <name val="Times New Roman"/>
      <charset val="1"/>
    </font>
    <font>
      <b/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sz val="11"/>
      <color rgb="FF0000FF"/>
      <name val="Arial"/>
      <family val="2"/>
      <charset val="1"/>
    </font>
    <font>
      <sz val="11"/>
      <color theme="1"/>
      <name val="Times New Roman"/>
      <family val="1"/>
      <charset val="1"/>
    </font>
    <font>
      <sz val="11"/>
      <color rgb="FF008000"/>
      <name val="Arial"/>
      <family val="2"/>
      <charset val="1"/>
    </font>
    <font>
      <u/>
      <sz val="11"/>
      <color theme="1"/>
      <name val="Times New Roman"/>
      <family val="1"/>
      <charset val="1"/>
    </font>
    <font>
      <sz val="11"/>
      <color rgb="FFFF0000"/>
      <name val="Times New Roman"/>
      <family val="1"/>
      <charset val="1"/>
    </font>
    <font>
      <b/>
      <sz val="10"/>
      <color theme="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0"/>
      <name val="Arial"/>
      <family val="2"/>
    </font>
    <font>
      <b/>
      <sz val="11"/>
      <color theme="0"/>
      <name val="Times New Roman"/>
      <family val="1"/>
      <charset val="1"/>
    </font>
    <font>
      <sz val="12"/>
      <color rgb="FF444444"/>
      <name val="Times New Roman"/>
      <family val="1"/>
      <charset val="1"/>
    </font>
    <font>
      <b/>
      <sz val="12"/>
      <color theme="1"/>
      <name val="Calibri"/>
      <family val="2"/>
      <charset val="1"/>
    </font>
    <font>
      <i/>
      <sz val="11"/>
      <color theme="1"/>
      <name val="Arial"/>
      <family val="2"/>
      <charset val="1"/>
    </font>
    <font>
      <b/>
      <sz val="11"/>
      <color rgb="FF00206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0"/>
      <color theme="0"/>
      <name val="Arial"/>
      <family val="2"/>
      <charset val="1"/>
    </font>
    <font>
      <sz val="10"/>
      <color theme="0"/>
      <name val="Arial"/>
      <family val="2"/>
      <charset val="1"/>
    </font>
    <font>
      <b/>
      <u/>
      <sz val="10"/>
      <color theme="1"/>
      <name val="Arial"/>
      <family val="2"/>
      <charset val="1"/>
    </font>
    <font>
      <i/>
      <sz val="10"/>
      <color theme="1"/>
      <name val="Arial"/>
      <family val="2"/>
      <charset val="1"/>
    </font>
    <font>
      <b/>
      <i/>
      <sz val="10"/>
      <color theme="1"/>
      <name val="Arial"/>
      <family val="2"/>
      <charset val="1"/>
    </font>
    <font>
      <sz val="10"/>
      <color theme="1"/>
      <name val="Arial"/>
      <charset val="1"/>
    </font>
    <font>
      <sz val="12"/>
      <color theme="1"/>
      <name val="Arial"/>
      <charset val="1"/>
    </font>
    <font>
      <sz val="12"/>
      <color theme="1"/>
      <name val="Times New Roman"/>
    </font>
    <font>
      <sz val="10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sz val="12"/>
      <color rgb="FF0070C0"/>
      <name val="Times New Roman"/>
      <family val="1"/>
    </font>
    <font>
      <b/>
      <u/>
      <sz val="10"/>
      <color rgb="FF000000"/>
      <name val="Arial"/>
      <family val="2"/>
      <charset val="1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3" tint="0.79989013336588644"/>
        <bgColor rgb="FFDDDDDD"/>
      </patternFill>
    </fill>
    <fill>
      <patternFill patternType="solid">
        <fgColor theme="0"/>
        <bgColor rgb="FFF2F2F2"/>
      </patternFill>
    </fill>
    <fill>
      <patternFill patternType="solid">
        <fgColor theme="8" tint="0.59987182226020086"/>
        <bgColor rgb="FFC6D9F0"/>
      </patternFill>
    </fill>
    <fill>
      <patternFill patternType="solid">
        <fgColor theme="9" tint="0.59987182226020086"/>
        <bgColor rgb="FFD9D9D9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theme="2"/>
        <bgColor rgb="FFEDEDED"/>
      </patternFill>
    </fill>
    <fill>
      <patternFill patternType="solid">
        <fgColor theme="7" tint="0.79989013336588644"/>
        <bgColor rgb="FFFFFFCC"/>
      </patternFill>
    </fill>
    <fill>
      <patternFill patternType="solid">
        <fgColor rgb="FFEBF1DE"/>
        <bgColor rgb="FFEBF1DD"/>
      </patternFill>
    </fill>
    <fill>
      <patternFill patternType="solid">
        <fgColor rgb="FF002060"/>
        <bgColor rgb="FF000080"/>
      </patternFill>
    </fill>
    <fill>
      <patternFill patternType="solid">
        <fgColor rgb="FFEBF1DD"/>
        <bgColor rgb="FFEBF1DE"/>
      </patternFill>
    </fill>
    <fill>
      <patternFill patternType="solid">
        <fgColor rgb="FFDDEBF7"/>
        <bgColor rgb="FFDBE5F1"/>
      </patternFill>
    </fill>
    <fill>
      <patternFill patternType="solid">
        <fgColor rgb="FFD9D9D9"/>
        <bgColor rgb="FFDDDDDD"/>
      </patternFill>
    </fill>
    <fill>
      <patternFill patternType="solid">
        <fgColor rgb="FFEAF1DD"/>
        <bgColor rgb="FFEBF1DD"/>
      </patternFill>
    </fill>
    <fill>
      <patternFill patternType="solid">
        <fgColor theme="4" tint="0.39988402966399123"/>
        <bgColor rgb="FFBFBFBF"/>
      </patternFill>
    </fill>
    <fill>
      <patternFill patternType="solid">
        <fgColor rgb="FFDBE5F1"/>
        <bgColor rgb="FFDAE3F3"/>
      </patternFill>
    </fill>
    <fill>
      <patternFill patternType="solid">
        <fgColor rgb="FFC6D9F0"/>
        <bgColor rgb="FFBDD7EE"/>
      </patternFill>
    </fill>
    <fill>
      <patternFill patternType="solid">
        <fgColor rgb="FF40936B"/>
        <bgColor rgb="FF70AD47"/>
      </patternFill>
    </fill>
    <fill>
      <patternFill patternType="solid">
        <fgColor theme="4" tint="0.79989013336588644"/>
        <bgColor rgb="FFDBE5F1"/>
      </patternFill>
    </fill>
    <fill>
      <patternFill patternType="solid">
        <fgColor theme="6" tint="0.79989013336588644"/>
        <bgColor rgb="FFF2F2F2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0" tint="-0.249977111117893"/>
      </top>
      <bottom/>
      <diagonal/>
    </border>
    <border>
      <left style="hair">
        <color rgb="FFD9D9D9"/>
      </left>
      <right/>
      <top style="hair">
        <color rgb="FFD9D9D9"/>
      </top>
      <bottom style="thin">
        <color rgb="FFBFBFBF"/>
      </bottom>
      <diagonal/>
    </border>
    <border>
      <left/>
      <right/>
      <top style="hair">
        <color rgb="FFD9D9D9"/>
      </top>
      <bottom style="thin">
        <color rgb="FFBFBFBF"/>
      </bottom>
      <diagonal/>
    </border>
    <border>
      <left/>
      <right style="hair">
        <color rgb="FFD9D9D9"/>
      </right>
      <top/>
      <bottom/>
      <diagonal/>
    </border>
    <border>
      <left style="hair">
        <color rgb="FFD9D9D9"/>
      </left>
      <right/>
      <top/>
      <bottom/>
      <diagonal/>
    </border>
    <border>
      <left style="hair">
        <color rgb="FFD9D9D9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hair">
        <color rgb="FFD9D9D9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medium">
        <color rgb="FFDDDDDD"/>
      </top>
      <bottom/>
      <diagonal/>
    </border>
    <border>
      <left style="thin">
        <color rgb="FFBFBFBF"/>
      </left>
      <right/>
      <top style="thin">
        <color auto="1"/>
      </top>
      <bottom style="thin">
        <color auto="1"/>
      </bottom>
      <diagonal/>
    </border>
    <border>
      <left style="thin">
        <color rgb="FFBFBFBF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FBFBF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Dashed">
        <color rgb="FF00B050"/>
      </left>
      <right style="mediumDashed">
        <color rgb="FF00B050"/>
      </right>
      <top style="mediumDashed">
        <color rgb="FF00B050"/>
      </top>
      <bottom/>
      <diagonal/>
    </border>
    <border>
      <left style="mediumDashed">
        <color rgb="FF00B050"/>
      </left>
      <right style="mediumDashed">
        <color rgb="FF00B050"/>
      </right>
      <top/>
      <bottom/>
      <diagonal/>
    </border>
    <border>
      <left style="mediumDashed">
        <color rgb="FF00B050"/>
      </left>
      <right style="mediumDashed">
        <color rgb="FF00B050"/>
      </right>
      <top/>
      <bottom style="mediumDashed">
        <color rgb="FF00B05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ashed">
        <color rgb="FF000000"/>
      </left>
      <right/>
      <top/>
      <bottom/>
      <diagonal/>
    </border>
    <border>
      <left style="dashed">
        <color rgb="FF000000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66" fillId="0" borderId="0"/>
    <xf numFmtId="0" fontId="1" fillId="0" borderId="0"/>
    <xf numFmtId="0" fontId="1" fillId="0" borderId="0"/>
    <xf numFmtId="9" fontId="66" fillId="0" borderId="0"/>
    <xf numFmtId="9" fontId="66" fillId="0" borderId="0"/>
  </cellStyleXfs>
  <cellXfs count="48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/>
    <xf numFmtId="165" fontId="7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166" fontId="11" fillId="6" borderId="5" xfId="0" applyNumberFormat="1" applyFont="1" applyFill="1" applyBorder="1"/>
    <xf numFmtId="166" fontId="6" fillId="6" borderId="0" xfId="0" applyNumberFormat="1" applyFont="1" applyFill="1"/>
    <xf numFmtId="166" fontId="6" fillId="6" borderId="6" xfId="0" applyNumberFormat="1" applyFont="1" applyFill="1" applyBorder="1"/>
    <xf numFmtId="167" fontId="12" fillId="6" borderId="0" xfId="0" applyNumberFormat="1" applyFont="1" applyFill="1"/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6" borderId="3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vertical="center"/>
    </xf>
    <xf numFmtId="168" fontId="5" fillId="6" borderId="7" xfId="0" applyNumberFormat="1" applyFont="1" applyFill="1" applyBorder="1" applyAlignment="1">
      <alignment vertical="center"/>
    </xf>
    <xf numFmtId="168" fontId="5" fillId="6" borderId="3" xfId="0" applyNumberFormat="1" applyFont="1" applyFill="1" applyBorder="1" applyAlignment="1">
      <alignment vertical="center"/>
    </xf>
    <xf numFmtId="168" fontId="5" fillId="6" borderId="8" xfId="0" applyNumberFormat="1" applyFont="1" applyFill="1" applyBorder="1" applyAlignment="1">
      <alignment vertical="center"/>
    </xf>
    <xf numFmtId="168" fontId="4" fillId="6" borderId="3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69" fontId="13" fillId="0" borderId="5" xfId="0" applyNumberFormat="1" applyFont="1" applyBorder="1" applyAlignment="1">
      <alignment vertical="center"/>
    </xf>
    <xf numFmtId="169" fontId="13" fillId="0" borderId="0" xfId="0" applyNumberFormat="1" applyFont="1" applyAlignment="1">
      <alignment vertical="center"/>
    </xf>
    <xf numFmtId="169" fontId="13" fillId="0" borderId="6" xfId="0" applyNumberFormat="1" applyFont="1" applyBorder="1" applyAlignment="1">
      <alignment vertical="center"/>
    </xf>
    <xf numFmtId="169" fontId="5" fillId="0" borderId="0" xfId="0" applyNumberFormat="1" applyFont="1" applyAlignment="1">
      <alignment vertical="center"/>
    </xf>
    <xf numFmtId="169" fontId="14" fillId="0" borderId="5" xfId="0" applyNumberFormat="1" applyFont="1" applyBorder="1" applyAlignment="1">
      <alignment vertical="center"/>
    </xf>
    <xf numFmtId="169" fontId="14" fillId="0" borderId="0" xfId="0" applyNumberFormat="1" applyFont="1" applyAlignment="1">
      <alignment vertical="center"/>
    </xf>
    <xf numFmtId="169" fontId="14" fillId="0" borderId="6" xfId="0" applyNumberFormat="1" applyFont="1" applyBorder="1" applyAlignment="1">
      <alignment vertical="center"/>
    </xf>
    <xf numFmtId="170" fontId="5" fillId="6" borderId="7" xfId="0" applyNumberFormat="1" applyFont="1" applyFill="1" applyBorder="1" applyAlignment="1">
      <alignment vertical="center"/>
    </xf>
    <xf numFmtId="170" fontId="5" fillId="6" borderId="3" xfId="0" applyNumberFormat="1" applyFont="1" applyFill="1" applyBorder="1" applyAlignment="1">
      <alignment vertical="center"/>
    </xf>
    <xf numFmtId="170" fontId="5" fillId="6" borderId="8" xfId="0" applyNumberFormat="1" applyFont="1" applyFill="1" applyBorder="1" applyAlignment="1">
      <alignment vertical="center"/>
    </xf>
    <xf numFmtId="170" fontId="4" fillId="6" borderId="3" xfId="0" applyNumberFormat="1" applyFont="1" applyFill="1" applyBorder="1" applyAlignment="1">
      <alignment vertical="center"/>
    </xf>
    <xf numFmtId="170" fontId="8" fillId="0" borderId="5" xfId="0" applyNumberFormat="1" applyFont="1" applyBorder="1" applyAlignment="1">
      <alignment vertical="center"/>
    </xf>
    <xf numFmtId="170" fontId="6" fillId="0" borderId="0" xfId="0" applyNumberFormat="1" applyFont="1" applyAlignment="1">
      <alignment vertical="center"/>
    </xf>
    <xf numFmtId="170" fontId="6" fillId="0" borderId="6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4" fillId="6" borderId="3" xfId="0" applyFont="1" applyFill="1" applyBorder="1" applyAlignment="1">
      <alignment horizontal="left" vertical="center" indent="1"/>
    </xf>
    <xf numFmtId="10" fontId="4" fillId="6" borderId="3" xfId="0" applyNumberFormat="1" applyFont="1" applyFill="1" applyBorder="1" applyAlignment="1">
      <alignment vertical="center"/>
    </xf>
    <xf numFmtId="169" fontId="5" fillId="0" borderId="5" xfId="0" applyNumberFormat="1" applyFont="1" applyBorder="1" applyAlignment="1">
      <alignment vertical="center"/>
    </xf>
    <xf numFmtId="10" fontId="5" fillId="0" borderId="0" xfId="0" applyNumberFormat="1" applyFont="1" applyAlignment="1">
      <alignment vertical="center"/>
    </xf>
    <xf numFmtId="10" fontId="5" fillId="0" borderId="6" xfId="0" applyNumberFormat="1" applyFont="1" applyBorder="1" applyAlignment="1">
      <alignment vertical="center"/>
    </xf>
    <xf numFmtId="10" fontId="14" fillId="0" borderId="0" xfId="0" applyNumberFormat="1" applyFont="1" applyAlignment="1">
      <alignment vertical="center"/>
    </xf>
    <xf numFmtId="10" fontId="2" fillId="0" borderId="0" xfId="0" applyNumberFormat="1" applyFont="1"/>
    <xf numFmtId="10" fontId="5" fillId="0" borderId="5" xfId="0" applyNumberFormat="1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172" fontId="14" fillId="0" borderId="6" xfId="0" applyNumberFormat="1" applyFont="1" applyBorder="1" applyAlignment="1">
      <alignment vertical="center"/>
    </xf>
    <xf numFmtId="10" fontId="15" fillId="0" borderId="0" xfId="0" applyNumberFormat="1" applyFont="1" applyAlignment="1">
      <alignment vertical="center"/>
    </xf>
    <xf numFmtId="10" fontId="2" fillId="0" borderId="5" xfId="0" applyNumberFormat="1" applyFont="1" applyBorder="1"/>
    <xf numFmtId="10" fontId="2" fillId="0" borderId="6" xfId="0" applyNumberFormat="1" applyFont="1" applyBorder="1"/>
    <xf numFmtId="0" fontId="16" fillId="0" borderId="0" xfId="0" applyFont="1"/>
    <xf numFmtId="173" fontId="13" fillId="0" borderId="5" xfId="0" applyNumberFormat="1" applyFont="1" applyBorder="1" applyAlignment="1">
      <alignment wrapText="1"/>
    </xf>
    <xf numFmtId="173" fontId="13" fillId="0" borderId="0" xfId="0" applyNumberFormat="1" applyFont="1" applyAlignment="1">
      <alignment wrapText="1"/>
    </xf>
    <xf numFmtId="173" fontId="13" fillId="0" borderId="6" xfId="0" applyNumberFormat="1" applyFont="1" applyBorder="1" applyAlignment="1">
      <alignment wrapText="1"/>
    </xf>
    <xf numFmtId="171" fontId="5" fillId="0" borderId="0" xfId="0" applyNumberFormat="1" applyFont="1" applyAlignment="1">
      <alignment vertical="center"/>
    </xf>
    <xf numFmtId="173" fontId="14" fillId="0" borderId="5" xfId="0" applyNumberFormat="1" applyFont="1" applyBorder="1" applyAlignment="1">
      <alignment wrapText="1"/>
    </xf>
    <xf numFmtId="173" fontId="14" fillId="0" borderId="0" xfId="0" applyNumberFormat="1" applyFont="1" applyAlignment="1">
      <alignment wrapText="1"/>
    </xf>
    <xf numFmtId="173" fontId="14" fillId="0" borderId="6" xfId="0" applyNumberFormat="1" applyFont="1" applyBorder="1" applyAlignment="1">
      <alignment wrapText="1"/>
    </xf>
    <xf numFmtId="10" fontId="17" fillId="0" borderId="0" xfId="0" applyNumberFormat="1" applyFont="1" applyAlignment="1">
      <alignment vertical="center"/>
    </xf>
    <xf numFmtId="169" fontId="17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172" fontId="17" fillId="0" borderId="6" xfId="0" applyNumberFormat="1" applyFont="1" applyBorder="1" applyAlignment="1">
      <alignment vertical="center"/>
    </xf>
    <xf numFmtId="0" fontId="16" fillId="0" borderId="5" xfId="0" applyFont="1" applyBorder="1"/>
    <xf numFmtId="2" fontId="5" fillId="6" borderId="3" xfId="0" applyNumberFormat="1" applyFont="1" applyFill="1" applyBorder="1" applyAlignment="1">
      <alignment vertical="center"/>
    </xf>
    <xf numFmtId="2" fontId="5" fillId="6" borderId="8" xfId="0" applyNumberFormat="1" applyFont="1" applyFill="1" applyBorder="1" applyAlignment="1">
      <alignment vertical="center"/>
    </xf>
    <xf numFmtId="2" fontId="4" fillId="6" borderId="3" xfId="0" applyNumberFormat="1" applyFont="1" applyFill="1" applyBorder="1" applyAlignment="1">
      <alignment vertical="center"/>
    </xf>
    <xf numFmtId="169" fontId="5" fillId="0" borderId="6" xfId="0" applyNumberFormat="1" applyFont="1" applyBorder="1" applyAlignment="1">
      <alignment vertical="center"/>
    </xf>
    <xf numFmtId="2" fontId="4" fillId="7" borderId="3" xfId="0" applyNumberFormat="1" applyFont="1" applyFill="1" applyBorder="1" applyAlignment="1">
      <alignment vertical="center"/>
    </xf>
    <xf numFmtId="172" fontId="6" fillId="3" borderId="5" xfId="0" applyNumberFormat="1" applyFont="1" applyFill="1" applyBorder="1"/>
    <xf numFmtId="172" fontId="6" fillId="3" borderId="0" xfId="0" applyNumberFormat="1" applyFont="1" applyFill="1"/>
    <xf numFmtId="172" fontId="6" fillId="3" borderId="6" xfId="0" applyNumberFormat="1" applyFont="1" applyFill="1" applyBorder="1"/>
    <xf numFmtId="0" fontId="14" fillId="0" borderId="0" xfId="0" applyFont="1"/>
    <xf numFmtId="172" fontId="6" fillId="0" borderId="0" xfId="0" applyNumberFormat="1" applyFont="1"/>
    <xf numFmtId="172" fontId="6" fillId="0" borderId="6" xfId="0" applyNumberFormat="1" applyFont="1" applyBorder="1"/>
    <xf numFmtId="172" fontId="14" fillId="0" borderId="0" xfId="0" applyNumberFormat="1" applyFont="1"/>
    <xf numFmtId="172" fontId="14" fillId="0" borderId="6" xfId="0" applyNumberFormat="1" applyFont="1" applyBorder="1"/>
    <xf numFmtId="2" fontId="6" fillId="0" borderId="0" xfId="0" applyNumberFormat="1" applyFont="1"/>
    <xf numFmtId="174" fontId="6" fillId="0" borderId="0" xfId="0" applyNumberFormat="1" applyFont="1"/>
    <xf numFmtId="168" fontId="6" fillId="0" borderId="0" xfId="0" applyNumberFormat="1" applyFont="1"/>
    <xf numFmtId="0" fontId="2" fillId="0" borderId="10" xfId="0" applyFont="1" applyBorder="1"/>
    <xf numFmtId="166" fontId="18" fillId="6" borderId="0" xfId="0" applyNumberFormat="1" applyFont="1" applyFill="1"/>
    <xf numFmtId="166" fontId="12" fillId="6" borderId="0" xfId="0" applyNumberFormat="1" applyFont="1" applyFill="1"/>
    <xf numFmtId="0" fontId="19" fillId="0" borderId="0" xfId="0" applyFont="1"/>
    <xf numFmtId="9" fontId="4" fillId="6" borderId="3" xfId="0" applyNumberFormat="1" applyFont="1" applyFill="1" applyBorder="1" applyAlignment="1">
      <alignment vertical="center"/>
    </xf>
    <xf numFmtId="0" fontId="20" fillId="0" borderId="0" xfId="0" applyFont="1"/>
    <xf numFmtId="0" fontId="21" fillId="0" borderId="0" xfId="0" applyFont="1"/>
    <xf numFmtId="2" fontId="21" fillId="0" borderId="0" xfId="0" applyNumberFormat="1" applyFont="1"/>
    <xf numFmtId="2" fontId="22" fillId="0" borderId="0" xfId="0" applyNumberFormat="1" applyFont="1"/>
    <xf numFmtId="10" fontId="22" fillId="8" borderId="0" xfId="0" applyNumberFormat="1" applyFont="1" applyFill="1"/>
    <xf numFmtId="0" fontId="23" fillId="6" borderId="3" xfId="0" applyFont="1" applyFill="1" applyBorder="1" applyAlignment="1">
      <alignment vertical="center"/>
    </xf>
    <xf numFmtId="174" fontId="4" fillId="6" borderId="3" xfId="0" applyNumberFormat="1" applyFont="1" applyFill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175" fontId="6" fillId="0" borderId="10" xfId="0" applyNumberFormat="1" applyFont="1" applyBorder="1" applyAlignment="1">
      <alignment wrapText="1"/>
    </xf>
    <xf numFmtId="175" fontId="6" fillId="0" borderId="10" xfId="0" applyNumberFormat="1" applyFont="1" applyBorder="1"/>
    <xf numFmtId="176" fontId="2" fillId="0" borderId="0" xfId="0" applyNumberFormat="1" applyFont="1"/>
    <xf numFmtId="173" fontId="6" fillId="0" borderId="1" xfId="0" applyNumberFormat="1" applyFont="1" applyBorder="1" applyAlignment="1">
      <alignment wrapText="1"/>
    </xf>
    <xf numFmtId="176" fontId="24" fillId="0" borderId="0" xfId="0" applyNumberFormat="1" applyFont="1"/>
    <xf numFmtId="0" fontId="12" fillId="0" borderId="0" xfId="0" applyFont="1" applyAlignment="1">
      <alignment vertical="top" wrapText="1"/>
    </xf>
    <xf numFmtId="173" fontId="12" fillId="0" borderId="0" xfId="0" applyNumberFormat="1" applyFont="1" applyAlignment="1">
      <alignment wrapText="1"/>
    </xf>
    <xf numFmtId="172" fontId="12" fillId="0" borderId="11" xfId="0" applyNumberFormat="1" applyFont="1" applyBorder="1"/>
    <xf numFmtId="0" fontId="25" fillId="0" borderId="0" xfId="0" applyFont="1"/>
    <xf numFmtId="176" fontId="25" fillId="0" borderId="0" xfId="0" applyNumberFormat="1" applyFont="1"/>
    <xf numFmtId="173" fontId="6" fillId="0" borderId="0" xfId="0" applyNumberFormat="1" applyFont="1" applyAlignment="1">
      <alignment wrapText="1"/>
    </xf>
    <xf numFmtId="177" fontId="6" fillId="0" borderId="0" xfId="0" applyNumberFormat="1" applyFont="1"/>
    <xf numFmtId="0" fontId="24" fillId="0" borderId="0" xfId="0" applyFont="1"/>
    <xf numFmtId="175" fontId="12" fillId="0" borderId="0" xfId="0" applyNumberFormat="1" applyFont="1" applyAlignment="1">
      <alignment wrapText="1"/>
    </xf>
    <xf numFmtId="177" fontId="12" fillId="0" borderId="11" xfId="0" applyNumberFormat="1" applyFont="1" applyBorder="1"/>
    <xf numFmtId="175" fontId="6" fillId="0" borderId="0" xfId="0" applyNumberFormat="1" applyFont="1" applyAlignment="1">
      <alignment wrapText="1"/>
    </xf>
    <xf numFmtId="2" fontId="6" fillId="0" borderId="0" xfId="0" applyNumberFormat="1" applyFont="1" applyAlignment="1">
      <alignment wrapText="1"/>
    </xf>
    <xf numFmtId="175" fontId="12" fillId="0" borderId="0" xfId="0" applyNumberFormat="1" applyFont="1" applyAlignment="1">
      <alignment horizontal="left"/>
    </xf>
    <xf numFmtId="178" fontId="6" fillId="0" borderId="0" xfId="0" applyNumberFormat="1" applyFont="1"/>
    <xf numFmtId="174" fontId="12" fillId="0" borderId="0" xfId="0" applyNumberFormat="1" applyFont="1"/>
    <xf numFmtId="179" fontId="6" fillId="0" borderId="0" xfId="0" applyNumberFormat="1" applyFont="1"/>
    <xf numFmtId="180" fontId="6" fillId="0" borderId="0" xfId="0" applyNumberFormat="1" applyFont="1"/>
    <xf numFmtId="0" fontId="2" fillId="0" borderId="0" xfId="0" applyFont="1" applyAlignment="1">
      <alignment horizontal="center"/>
    </xf>
    <xf numFmtId="181" fontId="2" fillId="0" borderId="0" xfId="0" applyNumberFormat="1" applyFont="1"/>
    <xf numFmtId="9" fontId="2" fillId="0" borderId="0" xfId="0" applyNumberFormat="1" applyFont="1"/>
    <xf numFmtId="164" fontId="2" fillId="0" borderId="0" xfId="0" applyNumberFormat="1" applyFont="1"/>
    <xf numFmtId="0" fontId="26" fillId="0" borderId="0" xfId="0" applyFont="1"/>
    <xf numFmtId="173" fontId="2" fillId="0" borderId="0" xfId="0" applyNumberFormat="1" applyFont="1"/>
    <xf numFmtId="180" fontId="2" fillId="0" borderId="0" xfId="0" applyNumberFormat="1" applyFont="1"/>
    <xf numFmtId="175" fontId="25" fillId="0" borderId="0" xfId="0" applyNumberFormat="1" applyFont="1"/>
    <xf numFmtId="173" fontId="25" fillId="0" borderId="0" xfId="0" applyNumberFormat="1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34" fillId="0" borderId="0" xfId="0" applyFont="1" applyAlignment="1">
      <alignment wrapText="1"/>
    </xf>
    <xf numFmtId="0" fontId="9" fillId="0" borderId="0" xfId="0" applyFont="1"/>
    <xf numFmtId="0" fontId="34" fillId="0" borderId="0" xfId="0" applyFont="1" applyAlignment="1">
      <alignment vertical="top" wrapText="1"/>
    </xf>
    <xf numFmtId="173" fontId="34" fillId="0" borderId="0" xfId="0" applyNumberFormat="1" applyFont="1"/>
    <xf numFmtId="173" fontId="9" fillId="0" borderId="0" xfId="0" applyNumberFormat="1" applyFont="1"/>
    <xf numFmtId="176" fontId="1" fillId="0" borderId="0" xfId="0" applyNumberFormat="1" applyFont="1"/>
    <xf numFmtId="173" fontId="9" fillId="0" borderId="0" xfId="0" applyNumberFormat="1" applyFont="1" applyAlignment="1">
      <alignment horizontal="right"/>
    </xf>
    <xf numFmtId="10" fontId="1" fillId="0" borderId="0" xfId="0" applyNumberFormat="1" applyFont="1"/>
    <xf numFmtId="10" fontId="28" fillId="0" borderId="0" xfId="0" applyNumberFormat="1" applyFont="1"/>
    <xf numFmtId="173" fontId="34" fillId="0" borderId="0" xfId="0" applyNumberFormat="1" applyFont="1" applyAlignment="1">
      <alignment horizontal="right"/>
    </xf>
    <xf numFmtId="173" fontId="34" fillId="0" borderId="1" xfId="0" applyNumberFormat="1" applyFont="1" applyBorder="1"/>
    <xf numFmtId="173" fontId="34" fillId="0" borderId="1" xfId="0" applyNumberFormat="1" applyFont="1" applyBorder="1" applyAlignment="1">
      <alignment horizontal="right"/>
    </xf>
    <xf numFmtId="173" fontId="34" fillId="0" borderId="0" xfId="0" applyNumberFormat="1" applyFont="1" applyAlignment="1">
      <alignment wrapText="1"/>
    </xf>
    <xf numFmtId="176" fontId="35" fillId="0" borderId="0" xfId="0" applyNumberFormat="1" applyFont="1"/>
    <xf numFmtId="173" fontId="9" fillId="0" borderId="1" xfId="0" applyNumberFormat="1" applyFont="1" applyBorder="1"/>
    <xf numFmtId="173" fontId="23" fillId="0" borderId="0" xfId="0" applyNumberFormat="1" applyFont="1" applyAlignment="1">
      <alignment wrapText="1"/>
    </xf>
    <xf numFmtId="173" fontId="10" fillId="0" borderId="0" xfId="0" applyNumberFormat="1" applyFont="1"/>
    <xf numFmtId="173" fontId="36" fillId="0" borderId="0" xfId="0" applyNumberFormat="1" applyFont="1"/>
    <xf numFmtId="0" fontId="1" fillId="0" borderId="0" xfId="0" applyFont="1"/>
    <xf numFmtId="0" fontId="37" fillId="0" borderId="0" xfId="0" applyFont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30" fillId="0" borderId="0" xfId="0" applyFont="1" applyAlignment="1">
      <alignment horizontal="center"/>
    </xf>
    <xf numFmtId="10" fontId="30" fillId="0" borderId="0" xfId="0" applyNumberFormat="1" applyFont="1"/>
    <xf numFmtId="0" fontId="7" fillId="0" borderId="0" xfId="0" applyFont="1"/>
    <xf numFmtId="0" fontId="38" fillId="0" borderId="0" xfId="0" applyFont="1"/>
    <xf numFmtId="0" fontId="38" fillId="0" borderId="0" xfId="0" applyFont="1" applyAlignment="1">
      <alignment horizontal="center"/>
    </xf>
    <xf numFmtId="0" fontId="31" fillId="0" borderId="0" xfId="0" applyFont="1"/>
    <xf numFmtId="10" fontId="38" fillId="0" borderId="0" xfId="0" applyNumberFormat="1" applyFont="1"/>
    <xf numFmtId="0" fontId="12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14" fontId="38" fillId="0" borderId="0" xfId="0" applyNumberFormat="1" applyFont="1"/>
    <xf numFmtId="0" fontId="41" fillId="0" borderId="0" xfId="0" applyFont="1" applyAlignment="1">
      <alignment horizontal="left"/>
    </xf>
    <xf numFmtId="175" fontId="40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82" fontId="41" fillId="0" borderId="0" xfId="0" applyNumberFormat="1" applyFont="1"/>
    <xf numFmtId="182" fontId="41" fillId="0" borderId="0" xfId="0" applyNumberFormat="1" applyFont="1" applyAlignment="1">
      <alignment horizontal="right"/>
    </xf>
    <xf numFmtId="0" fontId="42" fillId="0" borderId="0" xfId="0" applyFont="1" applyAlignment="1">
      <alignment horizontal="right"/>
    </xf>
    <xf numFmtId="10" fontId="43" fillId="0" borderId="0" xfId="0" applyNumberFormat="1" applyFont="1"/>
    <xf numFmtId="0" fontId="41" fillId="0" borderId="0" xfId="0" applyFont="1"/>
    <xf numFmtId="182" fontId="38" fillId="0" borderId="0" xfId="0" applyNumberFormat="1" applyFont="1"/>
    <xf numFmtId="0" fontId="31" fillId="0" borderId="3" xfId="0" applyFont="1" applyBorder="1" applyAlignment="1">
      <alignment horizontal="center" wrapText="1"/>
    </xf>
    <xf numFmtId="175" fontId="44" fillId="0" borderId="0" xfId="0" applyNumberFormat="1" applyFont="1"/>
    <xf numFmtId="183" fontId="42" fillId="0" borderId="0" xfId="0" applyNumberFormat="1" applyFont="1" applyAlignment="1">
      <alignment horizontal="right"/>
    </xf>
    <xf numFmtId="0" fontId="31" fillId="0" borderId="12" xfId="0" applyFont="1" applyBorder="1" applyAlignment="1">
      <alignment horizontal="center" wrapText="1"/>
    </xf>
    <xf numFmtId="0" fontId="31" fillId="0" borderId="3" xfId="0" applyFont="1" applyBorder="1" applyAlignment="1">
      <alignment horizontal="center"/>
    </xf>
    <xf numFmtId="10" fontId="31" fillId="0" borderId="3" xfId="0" applyNumberFormat="1" applyFont="1" applyBorder="1" applyAlignment="1">
      <alignment horizontal="center" wrapText="1"/>
    </xf>
    <xf numFmtId="0" fontId="31" fillId="0" borderId="13" xfId="0" applyFont="1" applyBorder="1" applyAlignment="1">
      <alignment horizontal="center" wrapText="1"/>
    </xf>
    <xf numFmtId="184" fontId="41" fillId="0" borderId="0" xfId="0" applyNumberFormat="1" applyFont="1"/>
    <xf numFmtId="184" fontId="42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14" fontId="43" fillId="0" borderId="0" xfId="0" applyNumberFormat="1" applyFont="1"/>
    <xf numFmtId="182" fontId="43" fillId="0" borderId="0" xfId="0" applyNumberFormat="1" applyFont="1"/>
    <xf numFmtId="175" fontId="38" fillId="0" borderId="0" xfId="0" applyNumberFormat="1" applyFont="1"/>
    <xf numFmtId="1" fontId="38" fillId="0" borderId="0" xfId="0" applyNumberFormat="1" applyFont="1" applyAlignment="1">
      <alignment horizontal="center"/>
    </xf>
    <xf numFmtId="10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right"/>
    </xf>
    <xf numFmtId="185" fontId="38" fillId="0" borderId="0" xfId="0" applyNumberFormat="1" applyFont="1" applyAlignment="1">
      <alignment horizontal="center"/>
    </xf>
    <xf numFmtId="185" fontId="38" fillId="0" borderId="0" xfId="0" applyNumberFormat="1" applyFont="1" applyAlignment="1">
      <alignment horizontal="left"/>
    </xf>
    <xf numFmtId="186" fontId="43" fillId="0" borderId="0" xfId="0" applyNumberFormat="1" applyFont="1"/>
    <xf numFmtId="187" fontId="31" fillId="0" borderId="11" xfId="0" applyNumberFormat="1" applyFont="1" applyBorder="1"/>
    <xf numFmtId="188" fontId="43" fillId="0" borderId="0" xfId="0" applyNumberFormat="1" applyFont="1"/>
    <xf numFmtId="184" fontId="41" fillId="0" borderId="0" xfId="0" applyNumberFormat="1" applyFont="1" applyAlignment="1">
      <alignment horizontal="right"/>
    </xf>
    <xf numFmtId="184" fontId="31" fillId="0" borderId="0" xfId="0" applyNumberFormat="1" applyFont="1" applyAlignment="1">
      <alignment horizontal="center"/>
    </xf>
    <xf numFmtId="176" fontId="38" fillId="0" borderId="0" xfId="0" applyNumberFormat="1" applyFont="1" applyAlignment="1">
      <alignment horizontal="center"/>
    </xf>
    <xf numFmtId="184" fontId="31" fillId="0" borderId="0" xfId="0" applyNumberFormat="1" applyFont="1"/>
    <xf numFmtId="188" fontId="43" fillId="0" borderId="1" xfId="0" applyNumberFormat="1" applyFont="1" applyBorder="1"/>
    <xf numFmtId="175" fontId="38" fillId="0" borderId="1" xfId="0" applyNumberFormat="1" applyFont="1" applyBorder="1"/>
    <xf numFmtId="1" fontId="38" fillId="0" borderId="1" xfId="0" applyNumberFormat="1" applyFont="1" applyBorder="1" applyAlignment="1">
      <alignment horizontal="center"/>
    </xf>
    <xf numFmtId="176" fontId="38" fillId="0" borderId="1" xfId="0" applyNumberFormat="1" applyFont="1" applyBorder="1" applyAlignment="1">
      <alignment horizontal="center"/>
    </xf>
    <xf numFmtId="182" fontId="38" fillId="0" borderId="1" xfId="0" applyNumberFormat="1" applyFont="1" applyBorder="1"/>
    <xf numFmtId="0" fontId="38" fillId="0" borderId="1" xfId="0" applyFont="1" applyBorder="1" applyAlignment="1">
      <alignment horizontal="right"/>
    </xf>
    <xf numFmtId="10" fontId="38" fillId="0" borderId="1" xfId="0" applyNumberFormat="1" applyFont="1" applyBorder="1" applyAlignment="1">
      <alignment horizontal="center"/>
    </xf>
    <xf numFmtId="10" fontId="38" fillId="0" borderId="1" xfId="0" applyNumberFormat="1" applyFont="1" applyBorder="1" applyAlignment="1">
      <alignment horizontal="left"/>
    </xf>
    <xf numFmtId="182" fontId="43" fillId="0" borderId="1" xfId="0" applyNumberFormat="1" applyFont="1" applyBorder="1"/>
    <xf numFmtId="0" fontId="30" fillId="0" borderId="1" xfId="0" applyFont="1" applyBorder="1"/>
    <xf numFmtId="0" fontId="31" fillId="0" borderId="1" xfId="0" applyFont="1" applyBorder="1"/>
    <xf numFmtId="0" fontId="38" fillId="0" borderId="1" xfId="0" applyFont="1" applyBorder="1" applyAlignment="1">
      <alignment horizontal="center"/>
    </xf>
    <xf numFmtId="182" fontId="31" fillId="0" borderId="1" xfId="0" applyNumberFormat="1" applyFont="1" applyBorder="1"/>
    <xf numFmtId="184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10" fontId="31" fillId="0" borderId="1" xfId="0" applyNumberFormat="1" applyFont="1" applyBorder="1" applyAlignment="1">
      <alignment horizontal="center"/>
    </xf>
    <xf numFmtId="10" fontId="31" fillId="0" borderId="1" xfId="0" applyNumberFormat="1" applyFont="1" applyBorder="1" applyAlignment="1">
      <alignment horizontal="left"/>
    </xf>
    <xf numFmtId="184" fontId="31" fillId="0" borderId="3" xfId="0" applyNumberFormat="1" applyFont="1" applyBorder="1"/>
    <xf numFmtId="10" fontId="38" fillId="0" borderId="0" xfId="0" applyNumberFormat="1" applyFont="1" applyAlignment="1">
      <alignment horizontal="left"/>
    </xf>
    <xf numFmtId="176" fontId="38" fillId="0" borderId="0" xfId="0" applyNumberFormat="1" applyFont="1"/>
    <xf numFmtId="173" fontId="43" fillId="0" borderId="1" xfId="0" applyNumberFormat="1" applyFont="1" applyBorder="1"/>
    <xf numFmtId="172" fontId="45" fillId="0" borderId="1" xfId="0" applyNumberFormat="1" applyFont="1" applyBorder="1"/>
    <xf numFmtId="0" fontId="38" fillId="0" borderId="1" xfId="0" applyFont="1" applyBorder="1"/>
    <xf numFmtId="175" fontId="43" fillId="0" borderId="1" xfId="0" applyNumberFormat="1" applyFont="1" applyBorder="1"/>
    <xf numFmtId="173" fontId="43" fillId="0" borderId="1" xfId="0" applyNumberFormat="1" applyFont="1" applyBorder="1" applyAlignment="1">
      <alignment horizontal="center"/>
    </xf>
    <xf numFmtId="172" fontId="37" fillId="0" borderId="1" xfId="0" applyNumberFormat="1" applyFont="1" applyBorder="1"/>
    <xf numFmtId="175" fontId="38" fillId="0" borderId="1" xfId="0" applyNumberFormat="1" applyFont="1" applyBorder="1" applyAlignment="1">
      <alignment horizontal="center"/>
    </xf>
    <xf numFmtId="10" fontId="31" fillId="0" borderId="1" xfId="0" applyNumberFormat="1" applyFont="1" applyBorder="1"/>
    <xf numFmtId="173" fontId="43" fillId="0" borderId="0" xfId="0" applyNumberFormat="1" applyFont="1" applyAlignment="1">
      <alignment horizontal="center"/>
    </xf>
    <xf numFmtId="173" fontId="43" fillId="0" borderId="0" xfId="0" applyNumberFormat="1" applyFont="1"/>
    <xf numFmtId="172" fontId="43" fillId="0" borderId="0" xfId="0" applyNumberFormat="1" applyFont="1"/>
    <xf numFmtId="175" fontId="37" fillId="0" borderId="0" xfId="0" applyNumberFormat="1" applyFont="1"/>
    <xf numFmtId="182" fontId="31" fillId="0" borderId="0" xfId="0" applyNumberFormat="1" applyFont="1"/>
    <xf numFmtId="172" fontId="43" fillId="0" borderId="1" xfId="0" applyNumberFormat="1" applyFont="1" applyBorder="1" applyAlignment="1">
      <alignment horizontal="center"/>
    </xf>
    <xf numFmtId="0" fontId="2" fillId="0" borderId="1" xfId="0" applyFont="1" applyBorder="1"/>
    <xf numFmtId="173" fontId="37" fillId="0" borderId="1" xfId="0" applyNumberFormat="1" applyFont="1" applyBorder="1"/>
    <xf numFmtId="10" fontId="38" fillId="0" borderId="1" xfId="0" applyNumberFormat="1" applyFont="1" applyBorder="1"/>
    <xf numFmtId="0" fontId="46" fillId="0" borderId="0" xfId="0" applyFont="1" applyAlignment="1">
      <alignment horizontal="center"/>
    </xf>
    <xf numFmtId="182" fontId="46" fillId="0" borderId="0" xfId="0" applyNumberFormat="1" applyFont="1"/>
    <xf numFmtId="0" fontId="46" fillId="0" borderId="0" xfId="0" applyFont="1"/>
    <xf numFmtId="164" fontId="38" fillId="0" borderId="0" xfId="0" applyNumberFormat="1" applyFont="1"/>
    <xf numFmtId="186" fontId="38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182" fontId="35" fillId="0" borderId="0" xfId="0" applyNumberFormat="1" applyFont="1"/>
    <xf numFmtId="188" fontId="38" fillId="0" borderId="0" xfId="0" applyNumberFormat="1" applyFont="1"/>
    <xf numFmtId="180" fontId="38" fillId="0" borderId="0" xfId="0" applyNumberFormat="1" applyFont="1"/>
    <xf numFmtId="0" fontId="35" fillId="0" borderId="0" xfId="0" applyFont="1" applyAlignment="1">
      <alignment horizontal="center"/>
    </xf>
    <xf numFmtId="9" fontId="38" fillId="0" borderId="0" xfId="0" applyNumberFormat="1" applyFont="1"/>
    <xf numFmtId="182" fontId="24" fillId="0" borderId="0" xfId="0" applyNumberFormat="1" applyFont="1"/>
    <xf numFmtId="164" fontId="4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0" fontId="0" fillId="0" borderId="0" xfId="0" applyNumberFormat="1"/>
    <xf numFmtId="186" fontId="0" fillId="0" borderId="0" xfId="0" applyNumberFormat="1"/>
    <xf numFmtId="0" fontId="38" fillId="0" borderId="12" xfId="0" applyFont="1" applyBorder="1"/>
    <xf numFmtId="164" fontId="38" fillId="0" borderId="13" xfId="0" applyNumberFormat="1" applyFont="1" applyBorder="1"/>
    <xf numFmtId="0" fontId="47" fillId="10" borderId="0" xfId="0" applyFont="1" applyFill="1"/>
    <xf numFmtId="0" fontId="47" fillId="1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10" fontId="2" fillId="0" borderId="0" xfId="0" applyNumberFormat="1" applyFont="1" applyAlignment="1">
      <alignment horizontal="center"/>
    </xf>
    <xf numFmtId="0" fontId="2" fillId="0" borderId="14" xfId="0" applyFont="1" applyBorder="1"/>
    <xf numFmtId="10" fontId="2" fillId="0" borderId="14" xfId="0" applyNumberFormat="1" applyFont="1" applyBorder="1" applyAlignment="1">
      <alignment horizontal="center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right"/>
    </xf>
    <xf numFmtId="0" fontId="48" fillId="11" borderId="15" xfId="0" applyFont="1" applyFill="1" applyBorder="1"/>
    <xf numFmtId="0" fontId="49" fillId="11" borderId="16" xfId="0" applyFont="1" applyFill="1" applyBorder="1"/>
    <xf numFmtId="0" fontId="50" fillId="12" borderId="0" xfId="0" applyFont="1" applyFill="1" applyAlignment="1">
      <alignment horizontal="center"/>
    </xf>
    <xf numFmtId="0" fontId="50" fillId="12" borderId="17" xfId="0" applyFont="1" applyFill="1" applyBorder="1" applyAlignment="1">
      <alignment horizontal="center"/>
    </xf>
    <xf numFmtId="0" fontId="49" fillId="0" borderId="0" xfId="0" applyFont="1"/>
    <xf numFmtId="0" fontId="49" fillId="13" borderId="18" xfId="0" applyFont="1" applyFill="1" applyBorder="1"/>
    <xf numFmtId="0" fontId="49" fillId="13" borderId="0" xfId="0" applyFont="1" applyFill="1"/>
    <xf numFmtId="0" fontId="50" fillId="0" borderId="17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49" fillId="0" borderId="18" xfId="0" applyFont="1" applyBorder="1"/>
    <xf numFmtId="188" fontId="0" fillId="0" borderId="0" xfId="0" applyNumberFormat="1"/>
    <xf numFmtId="0" fontId="51" fillId="0" borderId="18" xfId="0" applyFont="1" applyBorder="1"/>
    <xf numFmtId="2" fontId="0" fillId="0" borderId="0" xfId="0" applyNumberFormat="1"/>
    <xf numFmtId="0" fontId="49" fillId="0" borderId="19" xfId="0" applyFont="1" applyBorder="1"/>
    <xf numFmtId="188" fontId="49" fillId="0" borderId="20" xfId="0" applyNumberFormat="1" applyFont="1" applyBorder="1"/>
    <xf numFmtId="0" fontId="49" fillId="0" borderId="21" xfId="0" applyFont="1" applyBorder="1"/>
    <xf numFmtId="164" fontId="49" fillId="0" borderId="1" xfId="0" applyNumberFormat="1" applyFont="1" applyBorder="1"/>
    <xf numFmtId="164" fontId="49" fillId="0" borderId="0" xfId="0" applyNumberFormat="1" applyFont="1"/>
    <xf numFmtId="182" fontId="0" fillId="0" borderId="0" xfId="0" applyNumberFormat="1"/>
    <xf numFmtId="0" fontId="49" fillId="0" borderId="11" xfId="0" applyFont="1" applyBorder="1"/>
    <xf numFmtId="182" fontId="0" fillId="0" borderId="11" xfId="0" applyNumberFormat="1" applyBorder="1"/>
    <xf numFmtId="0" fontId="49" fillId="0" borderId="20" xfId="0" applyFont="1" applyBorder="1"/>
    <xf numFmtId="173" fontId="0" fillId="0" borderId="0" xfId="0" applyNumberFormat="1"/>
    <xf numFmtId="0" fontId="0" fillId="0" borderId="22" xfId="0" applyBorder="1"/>
    <xf numFmtId="2" fontId="0" fillId="0" borderId="22" xfId="0" applyNumberFormat="1" applyBorder="1"/>
    <xf numFmtId="0" fontId="54" fillId="0" borderId="23" xfId="0" applyFont="1" applyBorder="1" applyAlignment="1">
      <alignment horizontal="center" vertical="top" wrapText="1"/>
    </xf>
    <xf numFmtId="189" fontId="54" fillId="0" borderId="23" xfId="0" applyNumberFormat="1" applyFont="1" applyBorder="1" applyAlignment="1">
      <alignment horizontal="center" vertical="top" wrapText="1"/>
    </xf>
    <xf numFmtId="0" fontId="1" fillId="3" borderId="0" xfId="0" applyFont="1" applyFill="1"/>
    <xf numFmtId="0" fontId="55" fillId="0" borderId="0" xfId="0" applyFont="1"/>
    <xf numFmtId="0" fontId="56" fillId="0" borderId="0" xfId="0" applyFont="1"/>
    <xf numFmtId="0" fontId="40" fillId="14" borderId="3" xfId="0" applyFont="1" applyFill="1" applyBorder="1"/>
    <xf numFmtId="14" fontId="40" fillId="14" borderId="24" xfId="0" applyNumberFormat="1" applyFont="1" applyFill="1" applyBorder="1"/>
    <xf numFmtId="1" fontId="40" fillId="14" borderId="3" xfId="0" applyNumberFormat="1" applyFont="1" applyFill="1" applyBorder="1"/>
    <xf numFmtId="1" fontId="40" fillId="14" borderId="9" xfId="0" applyNumberFormat="1" applyFont="1" applyFill="1" applyBorder="1"/>
    <xf numFmtId="1" fontId="40" fillId="15" borderId="9" xfId="0" applyNumberFormat="1" applyFont="1" applyFill="1" applyBorder="1"/>
    <xf numFmtId="186" fontId="41" fillId="0" borderId="25" xfId="0" applyNumberFormat="1" applyFont="1" applyBorder="1"/>
    <xf numFmtId="190" fontId="41" fillId="0" borderId="26" xfId="0" applyNumberFormat="1" applyFont="1" applyBorder="1"/>
    <xf numFmtId="172" fontId="0" fillId="0" borderId="0" xfId="0" applyNumberFormat="1"/>
    <xf numFmtId="0" fontId="41" fillId="0" borderId="1" xfId="0" applyFont="1" applyBorder="1"/>
    <xf numFmtId="39" fontId="41" fillId="0" borderId="27" xfId="0" applyNumberFormat="1" applyFont="1" applyBorder="1"/>
    <xf numFmtId="190" fontId="41" fillId="0" borderId="28" xfId="0" applyNumberFormat="1" applyFont="1" applyBorder="1"/>
    <xf numFmtId="191" fontId="41" fillId="0" borderId="26" xfId="0" applyNumberFormat="1" applyFont="1" applyBorder="1"/>
    <xf numFmtId="176" fontId="56" fillId="0" borderId="27" xfId="0" applyNumberFormat="1" applyFont="1" applyBorder="1"/>
    <xf numFmtId="176" fontId="56" fillId="0" borderId="28" xfId="0" applyNumberFormat="1" applyFont="1" applyBorder="1"/>
    <xf numFmtId="174" fontId="0" fillId="0" borderId="0" xfId="0" applyNumberFormat="1"/>
    <xf numFmtId="0" fontId="41" fillId="0" borderId="3" xfId="0" applyFont="1" applyBorder="1"/>
    <xf numFmtId="186" fontId="41" fillId="0" borderId="24" xfId="0" applyNumberFormat="1" applyFont="1" applyBorder="1"/>
    <xf numFmtId="191" fontId="41" fillId="0" borderId="9" xfId="0" applyNumberFormat="1" applyFont="1" applyBorder="1"/>
    <xf numFmtId="39" fontId="41" fillId="0" borderId="25" xfId="0" applyNumberFormat="1" applyFont="1" applyBorder="1"/>
    <xf numFmtId="37" fontId="41" fillId="0" borderId="26" xfId="0" applyNumberFormat="1" applyFont="1" applyBorder="1"/>
    <xf numFmtId="177" fontId="0" fillId="0" borderId="0" xfId="0" applyNumberFormat="1"/>
    <xf numFmtId="186" fontId="41" fillId="0" borderId="27" xfId="0" applyNumberFormat="1" applyFont="1" applyBorder="1"/>
    <xf numFmtId="191" fontId="41" fillId="0" borderId="28" xfId="0" applyNumberFormat="1" applyFont="1" applyBorder="1"/>
    <xf numFmtId="0" fontId="41" fillId="0" borderId="9" xfId="0" applyFont="1" applyBorder="1"/>
    <xf numFmtId="0" fontId="40" fillId="16" borderId="3" xfId="0" applyFont="1" applyFill="1" applyBorder="1"/>
    <xf numFmtId="0" fontId="41" fillId="16" borderId="3" xfId="0" applyFont="1" applyFill="1" applyBorder="1"/>
    <xf numFmtId="0" fontId="41" fillId="16" borderId="28" xfId="0" applyFont="1" applyFill="1" applyBorder="1"/>
    <xf numFmtId="173" fontId="41" fillId="0" borderId="0" xfId="0" applyNumberFormat="1" applyFont="1"/>
    <xf numFmtId="0" fontId="40" fillId="17" borderId="0" xfId="0" applyFont="1" applyFill="1" applyAlignment="1">
      <alignment wrapText="1"/>
    </xf>
    <xf numFmtId="0" fontId="41" fillId="17" borderId="0" xfId="0" applyFont="1" applyFill="1"/>
    <xf numFmtId="0" fontId="41" fillId="17" borderId="9" xfId="0" applyFont="1" applyFill="1" applyBorder="1"/>
    <xf numFmtId="0" fontId="41" fillId="17" borderId="29" xfId="0" applyFont="1" applyFill="1" applyBorder="1"/>
    <xf numFmtId="183" fontId="41" fillId="0" borderId="9" xfId="0" applyNumberFormat="1" applyFont="1" applyBorder="1"/>
    <xf numFmtId="172" fontId="41" fillId="0" borderId="0" xfId="0" applyNumberFormat="1" applyFont="1"/>
    <xf numFmtId="0" fontId="41" fillId="3" borderId="0" xfId="0" applyFont="1" applyFill="1"/>
    <xf numFmtId="0" fontId="57" fillId="18" borderId="0" xfId="0" applyFont="1" applyFill="1"/>
    <xf numFmtId="0" fontId="48" fillId="0" borderId="0" xfId="0" applyFont="1"/>
    <xf numFmtId="0" fontId="50" fillId="3" borderId="0" xfId="0" applyFont="1" applyFill="1"/>
    <xf numFmtId="9" fontId="0" fillId="0" borderId="0" xfId="0" applyNumberFormat="1"/>
    <xf numFmtId="0" fontId="48" fillId="3" borderId="0" xfId="0" applyFont="1" applyFill="1"/>
    <xf numFmtId="0" fontId="58" fillId="3" borderId="0" xfId="0" applyFont="1" applyFill="1"/>
    <xf numFmtId="10" fontId="19" fillId="0" borderId="0" xfId="0" applyNumberFormat="1" applyFont="1"/>
    <xf numFmtId="0" fontId="59" fillId="0" borderId="0" xfId="0" applyFont="1"/>
    <xf numFmtId="0" fontId="60" fillId="0" borderId="0" xfId="0" applyFont="1"/>
    <xf numFmtId="0" fontId="48" fillId="3" borderId="11" xfId="0" applyFont="1" applyFill="1" applyBorder="1"/>
    <xf numFmtId="0" fontId="0" fillId="0" borderId="11" xfId="0" applyBorder="1"/>
    <xf numFmtId="164" fontId="0" fillId="0" borderId="11" xfId="0" applyNumberFormat="1" applyBorder="1"/>
    <xf numFmtId="0" fontId="61" fillId="10" borderId="0" xfId="0" applyFont="1" applyFill="1"/>
    <xf numFmtId="0" fontId="62" fillId="10" borderId="0" xfId="0" applyFont="1" applyFill="1"/>
    <xf numFmtId="14" fontId="1" fillId="0" borderId="0" xfId="0" applyNumberFormat="1" applyFont="1"/>
    <xf numFmtId="0" fontId="28" fillId="19" borderId="0" xfId="0" applyFont="1" applyFill="1"/>
    <xf numFmtId="0" fontId="28" fillId="19" borderId="30" xfId="0" applyFont="1" applyFill="1" applyBorder="1" applyAlignment="1">
      <alignment horizontal="center"/>
    </xf>
    <xf numFmtId="0" fontId="28" fillId="19" borderId="31" xfId="0" applyFont="1" applyFill="1" applyBorder="1" applyAlignment="1">
      <alignment horizontal="center"/>
    </xf>
    <xf numFmtId="0" fontId="28" fillId="19" borderId="0" xfId="0" applyFont="1" applyFill="1" applyAlignment="1">
      <alignment horizontal="center"/>
    </xf>
    <xf numFmtId="0" fontId="28" fillId="19" borderId="26" xfId="0" applyFont="1" applyFill="1" applyBorder="1" applyAlignment="1">
      <alignment horizontal="center"/>
    </xf>
    <xf numFmtId="184" fontId="1" fillId="0" borderId="30" xfId="0" applyNumberFormat="1" applyFont="1" applyBorder="1" applyAlignment="1">
      <alignment horizontal="center"/>
    </xf>
    <xf numFmtId="184" fontId="1" fillId="0" borderId="32" xfId="0" applyNumberFormat="1" applyFont="1" applyBorder="1" applyAlignment="1">
      <alignment horizontal="center"/>
    </xf>
    <xf numFmtId="176" fontId="1" fillId="0" borderId="0" xfId="0" applyNumberFormat="1" applyFont="1" applyAlignment="1">
      <alignment horizontal="center"/>
    </xf>
    <xf numFmtId="184" fontId="1" fillId="0" borderId="26" xfId="0" applyNumberFormat="1" applyFont="1" applyBorder="1" applyAlignment="1">
      <alignment horizontal="center"/>
    </xf>
    <xf numFmtId="192" fontId="1" fillId="0" borderId="30" xfId="0" applyNumberFormat="1" applyFont="1" applyBorder="1" applyAlignment="1">
      <alignment horizontal="center"/>
    </xf>
    <xf numFmtId="10" fontId="1" fillId="0" borderId="30" xfId="0" applyNumberFormat="1" applyFont="1" applyBorder="1" applyAlignment="1">
      <alignment horizontal="center"/>
    </xf>
    <xf numFmtId="184" fontId="1" fillId="0" borderId="0" xfId="0" applyNumberFormat="1" applyFont="1" applyAlignment="1">
      <alignment horizontal="center"/>
    </xf>
    <xf numFmtId="184" fontId="1" fillId="19" borderId="30" xfId="0" applyNumberFormat="1" applyFont="1" applyFill="1" applyBorder="1" applyAlignment="1">
      <alignment horizontal="center"/>
    </xf>
    <xf numFmtId="184" fontId="1" fillId="19" borderId="32" xfId="0" applyNumberFormat="1" applyFont="1" applyFill="1" applyBorder="1" applyAlignment="1">
      <alignment horizontal="center"/>
    </xf>
    <xf numFmtId="184" fontId="1" fillId="19" borderId="0" xfId="0" applyNumberFormat="1" applyFont="1" applyFill="1" applyAlignment="1">
      <alignment horizontal="center"/>
    </xf>
    <xf numFmtId="184" fontId="1" fillId="19" borderId="26" xfId="0" applyNumberFormat="1" applyFont="1" applyFill="1" applyBorder="1" applyAlignment="1">
      <alignment horizontal="center"/>
    </xf>
    <xf numFmtId="192" fontId="1" fillId="19" borderId="30" xfId="0" applyNumberFormat="1" applyFont="1" applyFill="1" applyBorder="1" applyAlignment="1">
      <alignment horizontal="center"/>
    </xf>
    <xf numFmtId="10" fontId="1" fillId="19" borderId="30" xfId="0" applyNumberFormat="1" applyFont="1" applyFill="1" applyBorder="1" applyAlignment="1">
      <alignment horizontal="center"/>
    </xf>
    <xf numFmtId="176" fontId="0" fillId="0" borderId="0" xfId="0" applyNumberFormat="1" applyAlignment="1">
      <alignment horizontal="center"/>
    </xf>
    <xf numFmtId="192" fontId="28" fillId="0" borderId="30" xfId="0" applyNumberFormat="1" applyFont="1" applyBorder="1" applyAlignment="1">
      <alignment horizontal="center"/>
    </xf>
    <xf numFmtId="10" fontId="28" fillId="0" borderId="30" xfId="0" applyNumberFormat="1" applyFont="1" applyBorder="1" applyAlignment="1">
      <alignment horizontal="center"/>
    </xf>
    <xf numFmtId="184" fontId="1" fillId="0" borderId="33" xfId="0" applyNumberFormat="1" applyFont="1" applyBorder="1" applyAlignment="1">
      <alignment horizontal="center"/>
    </xf>
    <xf numFmtId="0" fontId="63" fillId="0" borderId="34" xfId="0" applyFont="1" applyBorder="1"/>
    <xf numFmtId="0" fontId="1" fillId="0" borderId="11" xfId="0" applyFont="1" applyBorder="1"/>
    <xf numFmtId="0" fontId="1" fillId="0" borderId="35" xfId="0" applyFont="1" applyBorder="1"/>
    <xf numFmtId="0" fontId="1" fillId="0" borderId="30" xfId="0" applyFont="1" applyBorder="1"/>
    <xf numFmtId="0" fontId="63" fillId="0" borderId="0" xfId="0" applyFont="1" applyAlignment="1">
      <alignment horizontal="center"/>
    </xf>
    <xf numFmtId="0" fontId="63" fillId="0" borderId="36" xfId="0" applyFont="1" applyBorder="1" applyAlignment="1">
      <alignment horizontal="center"/>
    </xf>
    <xf numFmtId="180" fontId="1" fillId="0" borderId="0" xfId="0" applyNumberFormat="1" applyFont="1"/>
    <xf numFmtId="180" fontId="0" fillId="0" borderId="36" xfId="0" applyNumberFormat="1" applyBorder="1"/>
    <xf numFmtId="0" fontId="28" fillId="0" borderId="30" xfId="0" applyFont="1" applyBorder="1"/>
    <xf numFmtId="180" fontId="28" fillId="0" borderId="0" xfId="0" applyNumberFormat="1" applyFont="1"/>
    <xf numFmtId="180" fontId="28" fillId="0" borderId="36" xfId="0" applyNumberFormat="1" applyFont="1" applyBorder="1"/>
    <xf numFmtId="0" fontId="1" fillId="0" borderId="37" xfId="0" applyFont="1" applyBorder="1"/>
    <xf numFmtId="180" fontId="1" fillId="0" borderId="1" xfId="0" applyNumberFormat="1" applyFont="1" applyBorder="1"/>
    <xf numFmtId="180" fontId="1" fillId="0" borderId="38" xfId="0" applyNumberFormat="1" applyFont="1" applyBorder="1"/>
    <xf numFmtId="0" fontId="64" fillId="0" borderId="34" xfId="0" applyFont="1" applyBorder="1"/>
    <xf numFmtId="176" fontId="64" fillId="0" borderId="11" xfId="0" applyNumberFormat="1" applyFont="1" applyBorder="1"/>
    <xf numFmtId="176" fontId="64" fillId="0" borderId="35" xfId="0" applyNumberFormat="1" applyFont="1" applyBorder="1"/>
    <xf numFmtId="0" fontId="64" fillId="0" borderId="37" xfId="0" applyFont="1" applyBorder="1"/>
    <xf numFmtId="176" fontId="64" fillId="0" borderId="1" xfId="0" applyNumberFormat="1" applyFont="1" applyBorder="1"/>
    <xf numFmtId="176" fontId="64" fillId="0" borderId="38" xfId="0" applyNumberFormat="1" applyFont="1" applyBorder="1"/>
    <xf numFmtId="0" fontId="40" fillId="0" borderId="0" xfId="0" applyFont="1"/>
    <xf numFmtId="0" fontId="40" fillId="0" borderId="0" xfId="0" applyFont="1" applyAlignment="1">
      <alignment horizontal="left" indent="1"/>
    </xf>
    <xf numFmtId="0" fontId="41" fillId="20" borderId="0" xfId="0" applyFont="1" applyFill="1"/>
    <xf numFmtId="0" fontId="40" fillId="20" borderId="0" xfId="0" applyFont="1" applyFill="1" applyAlignment="1">
      <alignment horizontal="center"/>
    </xf>
    <xf numFmtId="0" fontId="40" fillId="0" borderId="39" xfId="0" applyFont="1" applyBorder="1"/>
    <xf numFmtId="191" fontId="40" fillId="0" borderId="40" xfId="0" applyNumberFormat="1" applyFont="1" applyBorder="1"/>
    <xf numFmtId="0" fontId="40" fillId="0" borderId="41" xfId="0" applyFont="1" applyBorder="1"/>
    <xf numFmtId="184" fontId="40" fillId="0" borderId="42" xfId="0" applyNumberFormat="1" applyFont="1" applyBorder="1"/>
    <xf numFmtId="182" fontId="41" fillId="21" borderId="0" xfId="0" applyNumberFormat="1" applyFont="1" applyFill="1"/>
    <xf numFmtId="182" fontId="41" fillId="21" borderId="1" xfId="0" applyNumberFormat="1" applyFont="1" applyFill="1" applyBorder="1"/>
    <xf numFmtId="0" fontId="40" fillId="0" borderId="1" xfId="0" applyFont="1" applyBorder="1"/>
    <xf numFmtId="0" fontId="65" fillId="0" borderId="0" xfId="0" applyFont="1"/>
    <xf numFmtId="0" fontId="40" fillId="19" borderId="43" xfId="0" applyFont="1" applyFill="1" applyBorder="1"/>
    <xf numFmtId="182" fontId="40" fillId="19" borderId="44" xfId="0" applyNumberFormat="1" applyFont="1" applyFill="1" applyBorder="1"/>
    <xf numFmtId="193" fontId="41" fillId="21" borderId="0" xfId="0" applyNumberFormat="1" applyFont="1" applyFill="1"/>
    <xf numFmtId="179" fontId="41" fillId="0" borderId="0" xfId="0" applyNumberFormat="1" applyFont="1"/>
    <xf numFmtId="0" fontId="40" fillId="19" borderId="43" xfId="0" applyFont="1" applyFill="1" applyBorder="1" applyAlignment="1">
      <alignment wrapText="1"/>
    </xf>
    <xf numFmtId="0" fontId="41" fillId="0" borderId="0" xfId="0" applyFont="1" applyAlignment="1">
      <alignment wrapText="1"/>
    </xf>
    <xf numFmtId="176" fontId="41" fillId="21" borderId="0" xfId="0" applyNumberFormat="1" applyFont="1" applyFill="1"/>
    <xf numFmtId="0" fontId="23" fillId="0" borderId="45" xfId="0" applyFont="1" applyBorder="1" applyAlignment="1">
      <alignment vertical="top" wrapText="1"/>
    </xf>
    <xf numFmtId="173" fontId="23" fillId="0" borderId="1" xfId="0" applyNumberFormat="1" applyFont="1" applyBorder="1" applyAlignment="1">
      <alignment wrapText="1"/>
    </xf>
    <xf numFmtId="173" fontId="10" fillId="0" borderId="1" xfId="0" applyNumberFormat="1" applyFont="1" applyBorder="1"/>
    <xf numFmtId="0" fontId="34" fillId="0" borderId="0" xfId="0" applyFont="1" applyAlignment="1">
      <alignment horizontal="left" vertical="top" wrapText="1" indent="1"/>
    </xf>
    <xf numFmtId="175" fontId="19" fillId="0" borderId="0" xfId="0" applyNumberFormat="1" applyFont="1"/>
    <xf numFmtId="173" fontId="23" fillId="0" borderId="45" xfId="0" applyNumberFormat="1" applyFont="1" applyBorder="1" applyAlignment="1">
      <alignment wrapText="1"/>
    </xf>
    <xf numFmtId="173" fontId="10" fillId="0" borderId="45" xfId="0" applyNumberFormat="1" applyFont="1" applyBorder="1"/>
    <xf numFmtId="176" fontId="28" fillId="0" borderId="0" xfId="0" applyNumberFormat="1" applyFont="1"/>
    <xf numFmtId="173" fontId="23" fillId="0" borderId="45" xfId="0" applyNumberFormat="1" applyFont="1" applyBorder="1"/>
    <xf numFmtId="173" fontId="10" fillId="0" borderId="0" xfId="0" applyNumberFormat="1" applyFont="1" applyAlignment="1">
      <alignment horizontal="right"/>
    </xf>
    <xf numFmtId="194" fontId="12" fillId="0" borderId="0" xfId="0" applyNumberFormat="1" applyFont="1" applyAlignment="1">
      <alignment wrapText="1"/>
    </xf>
    <xf numFmtId="194" fontId="25" fillId="0" borderId="0" xfId="0" applyNumberFormat="1" applyFont="1" applyAlignment="1">
      <alignment wrapText="1"/>
    </xf>
    <xf numFmtId="194" fontId="6" fillId="0" borderId="0" xfId="0" applyNumberFormat="1" applyFont="1" applyAlignment="1">
      <alignment wrapText="1"/>
    </xf>
    <xf numFmtId="194" fontId="2" fillId="0" borderId="0" xfId="0" applyNumberFormat="1" applyFont="1" applyAlignment="1">
      <alignment wrapText="1"/>
    </xf>
    <xf numFmtId="194" fontId="0" fillId="0" borderId="0" xfId="0" applyNumberFormat="1"/>
    <xf numFmtId="194" fontId="67" fillId="0" borderId="0" xfId="0" applyNumberFormat="1" applyFont="1"/>
    <xf numFmtId="194" fontId="9" fillId="0" borderId="0" xfId="0" applyNumberFormat="1" applyFont="1" applyAlignment="1">
      <alignment wrapText="1"/>
    </xf>
    <xf numFmtId="194" fontId="9" fillId="0" borderId="0" xfId="0" applyNumberFormat="1" applyFont="1"/>
    <xf numFmtId="194" fontId="68" fillId="0" borderId="0" xfId="0" applyNumberFormat="1" applyFont="1" applyAlignment="1">
      <alignment wrapText="1"/>
    </xf>
    <xf numFmtId="194" fontId="69" fillId="0" borderId="0" xfId="0" applyNumberFormat="1" applyFont="1" applyAlignment="1">
      <alignment wrapText="1"/>
    </xf>
    <xf numFmtId="194" fontId="68" fillId="0" borderId="0" xfId="0" applyNumberFormat="1" applyFont="1"/>
    <xf numFmtId="194" fontId="70" fillId="0" borderId="0" xfId="0" applyNumberFormat="1" applyFont="1" applyAlignment="1">
      <alignment wrapText="1"/>
    </xf>
    <xf numFmtId="0" fontId="6" fillId="0" borderId="0" xfId="0" applyFont="1" applyAlignment="1">
      <alignment horizontal="left" vertical="top" wrapText="1" indent="1"/>
    </xf>
    <xf numFmtId="0" fontId="12" fillId="0" borderId="45" xfId="0" applyFont="1" applyBorder="1" applyAlignment="1">
      <alignment vertical="top" wrapText="1"/>
    </xf>
    <xf numFmtId="194" fontId="12" fillId="0" borderId="45" xfId="0" applyNumberFormat="1" applyFont="1" applyBorder="1" applyAlignment="1">
      <alignment wrapText="1"/>
    </xf>
    <xf numFmtId="194" fontId="70" fillId="0" borderId="45" xfId="0" applyNumberFormat="1" applyFont="1" applyBorder="1" applyAlignment="1">
      <alignment wrapText="1"/>
    </xf>
    <xf numFmtId="194" fontId="71" fillId="0" borderId="45" xfId="0" applyNumberFormat="1" applyFont="1" applyBorder="1" applyAlignment="1">
      <alignment wrapText="1"/>
    </xf>
    <xf numFmtId="4" fontId="6" fillId="0" borderId="6" xfId="0" applyNumberFormat="1" applyFont="1" applyBorder="1"/>
    <xf numFmtId="4" fontId="6" fillId="0" borderId="0" xfId="0" applyNumberFormat="1" applyFont="1"/>
    <xf numFmtId="0" fontId="14" fillId="0" borderId="6" xfId="0" applyFont="1" applyBorder="1"/>
    <xf numFmtId="2" fontId="4" fillId="6" borderId="7" xfId="0" applyNumberFormat="1" applyFont="1" applyFill="1" applyBorder="1" applyAlignment="1">
      <alignment vertical="center"/>
    </xf>
    <xf numFmtId="2" fontId="4" fillId="6" borderId="8" xfId="0" applyNumberFormat="1" applyFont="1" applyFill="1" applyBorder="1" applyAlignment="1">
      <alignment vertical="center"/>
    </xf>
    <xf numFmtId="10" fontId="4" fillId="6" borderId="7" xfId="0" applyNumberFormat="1" applyFont="1" applyFill="1" applyBorder="1" applyAlignment="1">
      <alignment vertical="center"/>
    </xf>
    <xf numFmtId="10" fontId="4" fillId="6" borderId="8" xfId="0" applyNumberFormat="1" applyFont="1" applyFill="1" applyBorder="1" applyAlignment="1">
      <alignment vertical="center"/>
    </xf>
    <xf numFmtId="2" fontId="4" fillId="7" borderId="7" xfId="0" applyNumberFormat="1" applyFont="1" applyFill="1" applyBorder="1" applyAlignment="1">
      <alignment vertical="center"/>
    </xf>
    <xf numFmtId="2" fontId="4" fillId="7" borderId="8" xfId="0" applyNumberFormat="1" applyFont="1" applyFill="1" applyBorder="1" applyAlignment="1">
      <alignment vertical="center"/>
    </xf>
    <xf numFmtId="10" fontId="4" fillId="6" borderId="46" xfId="0" applyNumberFormat="1" applyFont="1" applyFill="1" applyBorder="1" applyAlignment="1">
      <alignment vertical="center"/>
    </xf>
    <xf numFmtId="4" fontId="4" fillId="6" borderId="7" xfId="0" applyNumberFormat="1" applyFont="1" applyFill="1" applyBorder="1" applyAlignment="1">
      <alignment vertical="center"/>
    </xf>
    <xf numFmtId="4" fontId="4" fillId="6" borderId="3" xfId="0" applyNumberFormat="1" applyFont="1" applyFill="1" applyBorder="1" applyAlignment="1">
      <alignment vertical="center"/>
    </xf>
    <xf numFmtId="4" fontId="4" fillId="6" borderId="8" xfId="0" applyNumberFormat="1" applyFont="1" applyFill="1" applyBorder="1" applyAlignment="1">
      <alignment vertical="center"/>
    </xf>
    <xf numFmtId="10" fontId="72" fillId="0" borderId="0" xfId="0" applyNumberFormat="1" applyFont="1"/>
    <xf numFmtId="0" fontId="73" fillId="0" borderId="47" xfId="0" applyFont="1" applyBorder="1"/>
    <xf numFmtId="182" fontId="0" fillId="22" borderId="0" xfId="0" applyNumberFormat="1" applyFill="1"/>
    <xf numFmtId="0" fontId="0" fillId="0" borderId="45" xfId="0" applyBorder="1"/>
    <xf numFmtId="0" fontId="0" fillId="0" borderId="48" xfId="0" applyBorder="1"/>
    <xf numFmtId="0" fontId="0" fillId="0" borderId="49" xfId="0" applyBorder="1"/>
    <xf numFmtId="0" fontId="63" fillId="0" borderId="50" xfId="0" applyFont="1" applyBorder="1" applyAlignment="1">
      <alignment horizontal="center"/>
    </xf>
    <xf numFmtId="0" fontId="1" fillId="0" borderId="49" xfId="0" applyFont="1" applyBorder="1"/>
    <xf numFmtId="195" fontId="1" fillId="0" borderId="0" xfId="0" applyNumberFormat="1" applyFont="1"/>
    <xf numFmtId="195" fontId="1" fillId="0" borderId="50" xfId="0" applyNumberFormat="1" applyFont="1" applyBorder="1"/>
    <xf numFmtId="0" fontId="1" fillId="0" borderId="51" xfId="0" applyFont="1" applyBorder="1"/>
    <xf numFmtId="195" fontId="1" fillId="0" borderId="52" xfId="0" applyNumberFormat="1" applyFont="1" applyBorder="1"/>
    <xf numFmtId="195" fontId="0" fillId="0" borderId="52" xfId="0" applyNumberFormat="1" applyBorder="1"/>
    <xf numFmtId="195" fontId="0" fillId="0" borderId="53" xfId="0" applyNumberFormat="1" applyBorder="1"/>
    <xf numFmtId="0" fontId="75" fillId="0" borderId="5" xfId="0" applyFont="1" applyBorder="1"/>
    <xf numFmtId="10" fontId="74" fillId="0" borderId="54" xfId="0" applyNumberFormat="1" applyFont="1" applyBorder="1" applyAlignment="1">
      <alignment vertical="center"/>
    </xf>
    <xf numFmtId="10" fontId="76" fillId="6" borderId="3" xfId="0" applyNumberFormat="1" applyFont="1" applyFill="1" applyBorder="1" applyAlignment="1">
      <alignment vertical="center"/>
    </xf>
    <xf numFmtId="10" fontId="76" fillId="6" borderId="55" xfId="0" applyNumberFormat="1" applyFont="1" applyFill="1" applyBorder="1" applyAlignment="1">
      <alignment vertical="center"/>
    </xf>
    <xf numFmtId="10" fontId="76" fillId="6" borderId="8" xfId="0" applyNumberFormat="1" applyFont="1" applyFill="1" applyBorder="1" applyAlignment="1">
      <alignment vertical="center"/>
    </xf>
    <xf numFmtId="10" fontId="41" fillId="21" borderId="0" xfId="0" applyNumberFormat="1" applyFont="1" applyFill="1"/>
    <xf numFmtId="184" fontId="40" fillId="0" borderId="0" xfId="0" applyNumberFormat="1" applyFont="1"/>
    <xf numFmtId="182" fontId="41" fillId="23" borderId="0" xfId="0" applyNumberFormat="1" applyFont="1" applyFill="1"/>
    <xf numFmtId="184" fontId="40" fillId="23" borderId="0" xfId="0" applyNumberFormat="1" applyFont="1" applyFill="1"/>
    <xf numFmtId="182" fontId="41" fillId="21" borderId="45" xfId="0" applyNumberFormat="1" applyFont="1" applyFill="1" applyBorder="1"/>
    <xf numFmtId="193" fontId="1" fillId="0" borderId="0" xfId="0" applyNumberFormat="1" applyFont="1"/>
    <xf numFmtId="0" fontId="9" fillId="4" borderId="4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/>
    </xf>
    <xf numFmtId="0" fontId="53" fillId="10" borderId="1" xfId="0" applyFont="1" applyFill="1" applyBorder="1" applyAlignment="1">
      <alignment horizontal="center"/>
    </xf>
  </cellXfs>
  <cellStyles count="6">
    <cellStyle name="Currency 2" xfId="1" xr:uid="{00000000-0005-0000-0000-000006000000}"/>
    <cellStyle name="Normal" xfId="0" builtinId="0"/>
    <cellStyle name="Normal 2" xfId="2" xr:uid="{00000000-0005-0000-0000-000007000000}"/>
    <cellStyle name="Normal 3" xfId="3" xr:uid="{00000000-0005-0000-0000-000008000000}"/>
    <cellStyle name="Percent 2" xfId="4" xr:uid="{00000000-0005-0000-0000-000009000000}"/>
    <cellStyle name="Percent 3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171C0"/>
      <rgbColor rgb="FFBFBFBF"/>
      <rgbColor rgb="FFF2F2F2"/>
      <rgbColor rgb="FF8FAADC"/>
      <rgbColor rgb="FF993366"/>
      <rgbColor rgb="FFFFFFCC"/>
      <rgbColor rgb="FFDDEBF7"/>
      <rgbColor rgb="FF660066"/>
      <rgbColor rgb="FFE7E6E6"/>
      <rgbColor rgb="FF0070C0"/>
      <rgbColor rgb="FFC6D9F0"/>
      <rgbColor rgb="FF000080"/>
      <rgbColor rgb="FFFF00FF"/>
      <rgbColor rgb="FFEBF1DD"/>
      <rgbColor rgb="FF00FFFF"/>
      <rgbColor rgb="FF800080"/>
      <rgbColor rgb="FF800000"/>
      <rgbColor rgb="FF00B050"/>
      <rgbColor rgb="FF0000FF"/>
      <rgbColor rgb="FF00CCFF"/>
      <rgbColor rgb="FFDBE5F1"/>
      <rgbColor rgb="FFEAF1DD"/>
      <rgbColor rgb="FFFFF2CC"/>
      <rgbColor rgb="FFBDD7EE"/>
      <rgbColor rgb="FFDDDDDD"/>
      <rgbColor rgb="FFD6DCE5"/>
      <rgbColor rgb="FFD9D9D9"/>
      <rgbColor rgb="FF4472C4"/>
      <rgbColor rgb="FFDAE3F3"/>
      <rgbColor rgb="FFC5E0B4"/>
      <rgbColor rgb="FFEBF1DE"/>
      <rgbColor rgb="FFEDEDED"/>
      <rgbColor rgb="FFFF6600"/>
      <rgbColor rgb="FF666699"/>
      <rgbColor rgb="FF70AD47"/>
      <rgbColor rgb="FF002060"/>
      <rgbColor rgb="FF40936B"/>
      <rgbColor rgb="FF003300"/>
      <rgbColor rgb="FF333300"/>
      <rgbColor rgb="FF993300"/>
      <rgbColor rgb="FF993366"/>
      <rgbColor rgb="FF3333FF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476280</xdr:colOff>
      <xdr:row>5</xdr:row>
      <xdr:rowOff>57240</xdr:rowOff>
    </xdr:from>
    <xdr:to>
      <xdr:col>17</xdr:col>
      <xdr:colOff>126720</xdr:colOff>
      <xdr:row>25</xdr:row>
      <xdr:rowOff>37080</xdr:rowOff>
    </xdr:to>
    <xdr:pic>
      <xdr:nvPicPr>
        <xdr:cNvPr id="2" name="image3.png" descr="World Consumption of Lubricating Oil Additives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07480" y="866880"/>
          <a:ext cx="5085360" cy="3218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123840</xdr:colOff>
      <xdr:row>5</xdr:row>
      <xdr:rowOff>47520</xdr:rowOff>
    </xdr:from>
    <xdr:to>
      <xdr:col>8</xdr:col>
      <xdr:colOff>172080</xdr:colOff>
      <xdr:row>25</xdr:row>
      <xdr:rowOff>36720</xdr:rowOff>
    </xdr:to>
    <xdr:pic>
      <xdr:nvPicPr>
        <xdr:cNvPr id="3" name="image2.gif" descr="https://www.ihs.com/images/specialty%20chemicals_224727110917062932.gif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27560" y="857160"/>
          <a:ext cx="4275720" cy="322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95400</xdr:colOff>
      <xdr:row>3</xdr:row>
      <xdr:rowOff>123840</xdr:rowOff>
    </xdr:from>
    <xdr:to>
      <xdr:col>16</xdr:col>
      <xdr:colOff>376560</xdr:colOff>
      <xdr:row>41</xdr:row>
      <xdr:rowOff>84600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400" y="609480"/>
          <a:ext cx="9943200" cy="61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543240</xdr:colOff>
      <xdr:row>48</xdr:row>
      <xdr:rowOff>66600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4000"/>
          <a:ext cx="9715680" cy="751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19</xdr:col>
      <xdr:colOff>153000</xdr:colOff>
      <xdr:row>97</xdr:row>
      <xdr:rowOff>85680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8258040"/>
          <a:ext cx="11771640" cy="7534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showGridLines="0" zoomScaleNormal="100" workbookViewId="0">
      <selection activeCell="B5" sqref="B5"/>
    </sheetView>
  </sheetViews>
  <sheetFormatPr defaultColWidth="8.7109375" defaultRowHeight="12.75"/>
  <cols>
    <col min="1" max="4" width="8.7109375" style="1"/>
    <col min="5" max="5" width="9.140625" style="1" customWidth="1"/>
    <col min="6" max="6" width="10.42578125" style="1" customWidth="1"/>
    <col min="7" max="7" width="11.7109375" style="1" customWidth="1"/>
    <col min="8" max="8" width="10.5703125" style="1" customWidth="1"/>
    <col min="9" max="11" width="13.42578125" style="1" customWidth="1"/>
    <col min="12" max="16384" width="8.7109375" style="1"/>
  </cols>
  <sheetData>
    <row r="1" spans="1:13" ht="17.25" customHeight="1">
      <c r="A1" s="2" t="s">
        <v>0</v>
      </c>
    </row>
    <row r="3" spans="1:13" ht="15" customHeight="1">
      <c r="B3" s="3" t="s">
        <v>1</v>
      </c>
      <c r="C3" s="4"/>
      <c r="D3" s="5" t="s">
        <v>2</v>
      </c>
      <c r="E3" s="4"/>
      <c r="F3" s="5" t="s">
        <v>3</v>
      </c>
      <c r="G3" s="4"/>
      <c r="H3" s="4"/>
      <c r="I3" s="4"/>
      <c r="J3" s="6"/>
    </row>
    <row r="4" spans="1:13" ht="15" customHeight="1">
      <c r="B4" s="7">
        <v>1</v>
      </c>
      <c r="C4" s="8"/>
      <c r="D4" s="9" t="str">
        <f ca="1">OFFSET(D4,$B$4,)</f>
        <v>Case 1</v>
      </c>
      <c r="E4" s="9"/>
      <c r="F4" s="9" t="str">
        <f ca="1">OFFSET(F4,$B$4,)</f>
        <v>Base</v>
      </c>
      <c r="G4" s="9"/>
      <c r="H4" s="9"/>
      <c r="I4" s="9"/>
      <c r="J4" s="6"/>
    </row>
    <row r="5" spans="1:13" ht="15" customHeight="1">
      <c r="B5" s="10">
        <v>1</v>
      </c>
      <c r="C5" s="4"/>
      <c r="D5" s="11" t="s">
        <v>4</v>
      </c>
      <c r="E5" s="4"/>
      <c r="F5" s="12" t="s">
        <v>5</v>
      </c>
      <c r="G5" s="4"/>
      <c r="H5" s="4"/>
      <c r="I5" s="4"/>
      <c r="J5" s="6"/>
    </row>
    <row r="6" spans="1:13" ht="15" customHeight="1">
      <c r="B6" s="10">
        <f>+B5+1</f>
        <v>2</v>
      </c>
      <c r="C6" s="4"/>
      <c r="D6" s="11" t="s">
        <v>6</v>
      </c>
      <c r="E6" s="4"/>
      <c r="F6" s="12" t="s">
        <v>7</v>
      </c>
      <c r="G6" s="4"/>
      <c r="H6" s="4"/>
      <c r="I6" s="4"/>
      <c r="J6" s="6"/>
    </row>
    <row r="7" spans="1:13" ht="15" customHeight="1">
      <c r="B7" s="10">
        <f>+B6+1</f>
        <v>3</v>
      </c>
      <c r="C7" s="4"/>
      <c r="D7" s="11" t="s">
        <v>8</v>
      </c>
      <c r="E7" s="4"/>
      <c r="F7" s="12" t="s">
        <v>9</v>
      </c>
      <c r="G7" s="4"/>
      <c r="H7" s="4"/>
      <c r="I7" s="4"/>
      <c r="J7" s="6"/>
    </row>
    <row r="8" spans="1:13" ht="15" customHeight="1">
      <c r="B8" s="6"/>
      <c r="C8" s="6"/>
      <c r="D8" s="6"/>
      <c r="E8" s="6"/>
      <c r="F8" s="6"/>
      <c r="G8" s="6"/>
      <c r="H8" s="6"/>
      <c r="I8" s="6"/>
      <c r="J8" s="6"/>
    </row>
    <row r="9" spans="1:13" ht="15" customHeight="1">
      <c r="B9" s="6"/>
      <c r="C9" s="6"/>
      <c r="D9" s="6"/>
      <c r="E9" s="6"/>
      <c r="F9" s="6"/>
      <c r="G9" s="6"/>
      <c r="H9" s="6"/>
      <c r="I9" s="6"/>
      <c r="J9" s="6"/>
    </row>
    <row r="10" spans="1:13" ht="21" customHeight="1">
      <c r="B10" s="13"/>
      <c r="C10" s="13"/>
      <c r="D10" s="13"/>
      <c r="E10" s="13"/>
      <c r="F10" s="483" t="s">
        <v>10</v>
      </c>
      <c r="G10" s="483"/>
      <c r="H10" s="483"/>
      <c r="I10" s="484" t="s">
        <v>11</v>
      </c>
      <c r="J10" s="484"/>
    </row>
    <row r="11" spans="1:13" ht="15" customHeight="1">
      <c r="B11" s="14" t="s">
        <v>12</v>
      </c>
      <c r="C11" s="14"/>
      <c r="D11" s="14"/>
      <c r="E11" s="14"/>
      <c r="F11" s="15">
        <v>41639</v>
      </c>
      <c r="G11" s="16">
        <f>EOMONTH(F11,12)</f>
        <v>42004</v>
      </c>
      <c r="H11" s="17">
        <f>EOMONTH(G11,12)</f>
        <v>42369</v>
      </c>
      <c r="I11" s="18">
        <f>EOMONTH(H11,12)</f>
        <v>42735</v>
      </c>
      <c r="J11" s="18">
        <f>EOMONTH(I11,12)</f>
        <v>43100</v>
      </c>
      <c r="K11" s="18">
        <f>EOMONTH(J11,12)</f>
        <v>43465</v>
      </c>
    </row>
    <row r="12" spans="1:13" ht="15" customHeight="1">
      <c r="B12" s="4"/>
      <c r="C12" s="4"/>
      <c r="D12" s="4"/>
      <c r="E12" s="4"/>
      <c r="F12" s="19"/>
      <c r="G12" s="4"/>
      <c r="H12" s="20"/>
      <c r="I12" s="4"/>
      <c r="J12" s="4"/>
    </row>
    <row r="13" spans="1:13" ht="15" customHeight="1">
      <c r="B13" s="21" t="s">
        <v>13</v>
      </c>
      <c r="C13" s="22"/>
      <c r="D13" s="22"/>
      <c r="E13" s="22"/>
      <c r="F13" s="455">
        <f ca="1">OFFSET(F13,$B$4,)</f>
        <v>7088.6</v>
      </c>
      <c r="G13" s="456">
        <f ca="1">OFFSET(G13,$B$4,)</f>
        <v>7212.4</v>
      </c>
      <c r="H13" s="457">
        <f ca="1">OFFSET(H13,$B$4,)</f>
        <v>6508.46976</v>
      </c>
      <c r="I13" s="456">
        <f ca="1">OFFSET(I13,$B$4,)</f>
        <v>6098.4361651200006</v>
      </c>
      <c r="J13" s="456">
        <f ca="1">OFFSET(J13,$B$4,)</f>
        <v>6710.8831695360004</v>
      </c>
      <c r="K13" s="456">
        <f ca="1">OFFSET(K13,$B$4,)</f>
        <v>6997.4966523571202</v>
      </c>
    </row>
    <row r="14" spans="1:13" ht="15" customHeight="1">
      <c r="B14" s="10">
        <f>+B$5</f>
        <v>1</v>
      </c>
      <c r="C14" s="4"/>
      <c r="D14" s="27" t="str">
        <f ca="1">OFFSET($D$4,$B14,)</f>
        <v>Case 1</v>
      </c>
      <c r="E14" s="4"/>
      <c r="F14" s="28">
        <f>'Ex 1 Income Statement'!B5</f>
        <v>7088.6</v>
      </c>
      <c r="G14" s="29">
        <f>'Ex 1 Income Statement'!C5</f>
        <v>7212.4</v>
      </c>
      <c r="H14" s="30">
        <f>'Ex 1 Income Statement'!D5</f>
        <v>6508.46976</v>
      </c>
      <c r="I14" s="31">
        <f>'Revenue Build'!I19</f>
        <v>6098.4361651200006</v>
      </c>
      <c r="J14" s="31">
        <f>'Revenue Build'!J19</f>
        <v>6710.8831695360004</v>
      </c>
      <c r="K14" s="31">
        <f>'Revenue Build'!K19</f>
        <v>6997.4966523571202</v>
      </c>
      <c r="M14" s="12" t="s">
        <v>5</v>
      </c>
    </row>
    <row r="15" spans="1:13" ht="15" customHeight="1">
      <c r="B15" s="10">
        <f>+B14+1</f>
        <v>2</v>
      </c>
      <c r="C15" s="4"/>
      <c r="D15" s="27" t="str">
        <f ca="1">OFFSET($D$4,$B15,)</f>
        <v>Case 2</v>
      </c>
      <c r="E15" s="4"/>
      <c r="F15" s="32">
        <v>7088.6</v>
      </c>
      <c r="G15" s="33">
        <v>7212.4</v>
      </c>
      <c r="H15" s="34">
        <v>6508.5</v>
      </c>
      <c r="I15" s="31">
        <f>'Revenue Build'!I21</f>
        <v>6183.0750000000007</v>
      </c>
      <c r="J15" s="31">
        <f>'Revenue Build'!J21</f>
        <v>6906.820200000001</v>
      </c>
      <c r="K15" s="31">
        <f>'Revenue Build'!K21</f>
        <v>7522.3290450000013</v>
      </c>
      <c r="M15" s="12" t="s">
        <v>7</v>
      </c>
    </row>
    <row r="16" spans="1:13" ht="15" customHeight="1">
      <c r="B16" s="10">
        <f>+B15+1</f>
        <v>3</v>
      </c>
      <c r="C16" s="4"/>
      <c r="D16" s="27" t="str">
        <f ca="1">OFFSET($D$4,$B16,)</f>
        <v>Case 3</v>
      </c>
      <c r="E16" s="4"/>
      <c r="F16" s="32">
        <v>7088.6</v>
      </c>
      <c r="G16" s="33">
        <v>7212.4</v>
      </c>
      <c r="H16" s="34">
        <v>6508.5</v>
      </c>
      <c r="I16" s="31">
        <f>'Revenue Build'!I23</f>
        <v>5857.6500000000005</v>
      </c>
      <c r="J16" s="31">
        <f>'Revenue Build'!J23</f>
        <v>6365.3130000000001</v>
      </c>
      <c r="K16" s="31">
        <f>'Revenue Build'!K23</f>
        <v>6597.796620000001</v>
      </c>
      <c r="M16" s="12" t="s">
        <v>9</v>
      </c>
    </row>
    <row r="17" spans="2:13" ht="15" customHeight="1">
      <c r="B17" s="4"/>
      <c r="C17" s="4"/>
      <c r="D17" s="4"/>
      <c r="E17" s="4"/>
      <c r="F17" s="19"/>
      <c r="G17" s="4"/>
      <c r="H17" s="20"/>
      <c r="I17" s="4"/>
      <c r="J17" s="4"/>
    </row>
    <row r="18" spans="2:13" ht="15" customHeight="1">
      <c r="B18" s="21" t="s">
        <v>14</v>
      </c>
      <c r="C18" s="22"/>
      <c r="D18" s="22"/>
      <c r="E18" s="22"/>
      <c r="F18" s="35"/>
      <c r="G18" s="36">
        <f ca="1">OFFSET(G18,$B$4,)</f>
        <v>1.7464661569280171E-2</v>
      </c>
      <c r="H18" s="37">
        <f ca="1">OFFSET(H18,$B$4,)</f>
        <v>-9.7599999999999909E-2</v>
      </c>
      <c r="I18" s="38">
        <f ca="1">OFFSET(I18,$B$4,)</f>
        <v>-6.2999999999999945E-2</v>
      </c>
      <c r="J18" s="38">
        <f ca="1">OFFSET(J18,$B$4,)</f>
        <v>0.10042689434364993</v>
      </c>
      <c r="K18" s="38">
        <f ca="1">OFFSET(K18,$B$4,)</f>
        <v>4.2708757637474504E-2</v>
      </c>
    </row>
    <row r="19" spans="2:13" ht="15" customHeight="1">
      <c r="B19" s="10">
        <f>+B$5</f>
        <v>1</v>
      </c>
      <c r="C19" s="4"/>
      <c r="D19" s="27" t="str">
        <f ca="1">OFFSET($D$4,$B19,)</f>
        <v>Case 1</v>
      </c>
      <c r="E19" s="4"/>
      <c r="F19" s="39"/>
      <c r="G19" s="40">
        <f>G14/F14-1</f>
        <v>1.7464661569280171E-2</v>
      </c>
      <c r="H19" s="41">
        <f>H14/G14-1</f>
        <v>-9.7599999999999909E-2</v>
      </c>
      <c r="I19" s="40">
        <f>I14/H14-1</f>
        <v>-6.2999999999999945E-2</v>
      </c>
      <c r="J19" s="40">
        <f>J14/I14-1</f>
        <v>0.10042689434364993</v>
      </c>
      <c r="K19" s="40">
        <f>K14/J14-1</f>
        <v>4.2708757637474504E-2</v>
      </c>
      <c r="M19" s="12" t="s">
        <v>5</v>
      </c>
    </row>
    <row r="20" spans="2:13" ht="15" customHeight="1">
      <c r="B20" s="10">
        <f>+B19+1</f>
        <v>2</v>
      </c>
      <c r="C20" s="4"/>
      <c r="D20" s="27" t="str">
        <f ca="1">OFFSET($D$4,$B20,)</f>
        <v>Case 2</v>
      </c>
      <c r="E20" s="4"/>
      <c r="F20" s="39"/>
      <c r="G20" s="40">
        <f>G15/F15-1</f>
        <v>1.7464661569280171E-2</v>
      </c>
      <c r="H20" s="41">
        <f>H15/G15-1</f>
        <v>-9.7595807220897335E-2</v>
      </c>
      <c r="I20" s="40">
        <f>I15/H15-1</f>
        <v>-4.9999999999999933E-2</v>
      </c>
      <c r="J20" s="40">
        <f>J15/I15-1</f>
        <v>0.1170526315789473</v>
      </c>
      <c r="K20" s="40">
        <f>K15/J15-1</f>
        <v>8.9116094986807504E-2</v>
      </c>
      <c r="M20" s="12" t="s">
        <v>7</v>
      </c>
    </row>
    <row r="21" spans="2:13" ht="15" customHeight="1">
      <c r="B21" s="10">
        <f>+B20+1</f>
        <v>3</v>
      </c>
      <c r="C21" s="4"/>
      <c r="D21" s="27" t="str">
        <f ca="1">OFFSET($D$4,$B21,)</f>
        <v>Case 3</v>
      </c>
      <c r="E21" s="4"/>
      <c r="F21" s="39"/>
      <c r="G21" s="40">
        <f>G16/F16-1</f>
        <v>1.7464661569280171E-2</v>
      </c>
      <c r="H21" s="41">
        <f>H16/G16-1</f>
        <v>-9.7595807220897335E-2</v>
      </c>
      <c r="I21" s="40">
        <f>I16/H16-1</f>
        <v>-9.9999999999999867E-2</v>
      </c>
      <c r="J21" s="40">
        <f>J16/I16-1</f>
        <v>8.666666666666667E-2</v>
      </c>
      <c r="K21" s="40">
        <f>K16/J16-1</f>
        <v>3.6523517382413218E-2</v>
      </c>
      <c r="M21" s="12" t="s">
        <v>9</v>
      </c>
    </row>
    <row r="22" spans="2:13" ht="12.75" customHeight="1">
      <c r="F22" s="42"/>
      <c r="H22" s="43"/>
    </row>
    <row r="23" spans="2:13" ht="15" customHeight="1">
      <c r="B23" s="21" t="s">
        <v>15</v>
      </c>
      <c r="C23" s="22"/>
      <c r="D23" s="22"/>
      <c r="E23" s="22"/>
      <c r="F23" s="455">
        <f ca="1">OFFSET(F23,$B$4,)</f>
        <v>5799.4672039999996</v>
      </c>
      <c r="G23" s="456">
        <f ca="1">OFFSET(G23,$B$4,)</f>
        <v>6015.1415999999999</v>
      </c>
      <c r="H23" s="457">
        <f ca="1">OFFSET(H23,$B$4,)</f>
        <v>5467.1145984000004</v>
      </c>
      <c r="I23" s="456">
        <f ca="1">OFFSET(I23,$B$4,)</f>
        <v>5000.7176553984</v>
      </c>
      <c r="J23" s="456">
        <f ca="1">OFFSET(J23,$B$4,)</f>
        <v>5469.36978317184</v>
      </c>
      <c r="K23" s="456">
        <f ca="1">OFFSET(K23,$B$4,)</f>
        <v>5667.972288409268</v>
      </c>
    </row>
    <row r="24" spans="2:13" ht="15" customHeight="1">
      <c r="B24" s="10">
        <f>+B$5</f>
        <v>1</v>
      </c>
      <c r="C24" s="4"/>
      <c r="D24" s="27" t="str">
        <f ca="1">OFFSET($D$4,$B24,)</f>
        <v>Case 1</v>
      </c>
      <c r="E24" s="4"/>
      <c r="F24" s="28">
        <f>'Ex 1 Income Statement'!B6</f>
        <v>5799.4672039999996</v>
      </c>
      <c r="G24" s="29">
        <f>'Ex 1 Income Statement'!C6</f>
        <v>6015.1415999999999</v>
      </c>
      <c r="H24" s="30">
        <f>'Ex 1 Income Statement'!D6</f>
        <v>5467.1145984000004</v>
      </c>
      <c r="I24" s="31">
        <f>I14*I29</f>
        <v>5000.7176553984</v>
      </c>
      <c r="J24" s="31">
        <f>J14*J29</f>
        <v>5469.36978317184</v>
      </c>
      <c r="K24" s="31">
        <f>K14*K29</f>
        <v>5667.972288409268</v>
      </c>
      <c r="M24" s="12" t="s">
        <v>5</v>
      </c>
    </row>
    <row r="25" spans="2:13" ht="15" customHeight="1">
      <c r="B25" s="10">
        <f>+B24+1</f>
        <v>2</v>
      </c>
      <c r="C25" s="4"/>
      <c r="D25" s="27" t="str">
        <f ca="1">OFFSET($D$4,$B25,)</f>
        <v>Case 2</v>
      </c>
      <c r="E25" s="4"/>
      <c r="F25" s="32">
        <v>5799.5</v>
      </c>
      <c r="G25" s="33">
        <v>6015.1</v>
      </c>
      <c r="H25" s="34">
        <v>5467.1</v>
      </c>
      <c r="I25" s="31">
        <f>I15*I30</f>
        <v>4946.4600000000009</v>
      </c>
      <c r="J25" s="31">
        <f>J15*J30</f>
        <v>5456.3879580000012</v>
      </c>
      <c r="K25" s="31">
        <f>K15*K30</f>
        <v>5867.4166551000017</v>
      </c>
      <c r="M25" s="12" t="s">
        <v>7</v>
      </c>
    </row>
    <row r="26" spans="2:13" ht="15" customHeight="1">
      <c r="B26" s="10">
        <f>+B25+1</f>
        <v>3</v>
      </c>
      <c r="C26" s="4"/>
      <c r="D26" s="27" t="str">
        <f ca="1">OFFSET($D$4,$B26,)</f>
        <v>Case 3</v>
      </c>
      <c r="E26" s="4"/>
      <c r="F26" s="32">
        <v>5799.5</v>
      </c>
      <c r="G26" s="33">
        <v>6015.1</v>
      </c>
      <c r="H26" s="34">
        <v>5467.1</v>
      </c>
      <c r="I26" s="31">
        <f>I16*I31</f>
        <v>4861.8495000000003</v>
      </c>
      <c r="J26" s="31">
        <f>J16*J31</f>
        <v>5346.8629199999996</v>
      </c>
      <c r="K26" s="31">
        <f>K16*K31</f>
        <v>5608.1271270000007</v>
      </c>
      <c r="M26" s="12" t="s">
        <v>9</v>
      </c>
    </row>
    <row r="27" spans="2:13" ht="15" customHeight="1">
      <c r="F27" s="42"/>
      <c r="H27" s="43"/>
    </row>
    <row r="28" spans="2:13" ht="15" customHeight="1">
      <c r="B28" s="44" t="s">
        <v>16</v>
      </c>
      <c r="C28" s="22"/>
      <c r="D28" s="22"/>
      <c r="E28" s="22"/>
      <c r="F28" s="475">
        <f ca="1">OFFSET(F28,$B$4,)</f>
        <v>0.81813999999999987</v>
      </c>
      <c r="G28" s="474">
        <f ca="1">OFFSET(G28,$B$4,)</f>
        <v>0.83400000000000007</v>
      </c>
      <c r="H28" s="476">
        <f ca="1">OFFSET(H28,$B$4,)</f>
        <v>0.84000000000000008</v>
      </c>
      <c r="I28" s="45">
        <f ca="1">OFFSET(I28,$B$4,)</f>
        <v>0.82</v>
      </c>
      <c r="J28" s="45">
        <f ca="1">OFFSET(J28,$B$4,)</f>
        <v>0.81499999999999995</v>
      </c>
      <c r="K28" s="45">
        <f ca="1">OFFSET(K28,$B$4,)</f>
        <v>0.81</v>
      </c>
    </row>
    <row r="29" spans="2:13" ht="15" customHeight="1">
      <c r="B29" s="10">
        <f>+B$5</f>
        <v>1</v>
      </c>
      <c r="C29" s="4"/>
      <c r="D29" s="27" t="str">
        <f ca="1">OFFSET($D$4,$B29,)</f>
        <v>Case 1</v>
      </c>
      <c r="E29" s="4"/>
      <c r="F29" s="473">
        <f>F24/F14</f>
        <v>0.81813999999999987</v>
      </c>
      <c r="G29" s="47">
        <f>G24/G14</f>
        <v>0.83400000000000007</v>
      </c>
      <c r="H29" s="48">
        <f>H24/H14</f>
        <v>0.84000000000000008</v>
      </c>
      <c r="I29" s="49">
        <v>0.82</v>
      </c>
      <c r="J29" s="49">
        <v>0.81499999999999995</v>
      </c>
      <c r="K29" s="49">
        <v>0.81</v>
      </c>
      <c r="M29" s="12" t="s">
        <v>5</v>
      </c>
    </row>
    <row r="30" spans="2:13" ht="15" customHeight="1">
      <c r="B30" s="10">
        <f>+B29+1</f>
        <v>2</v>
      </c>
      <c r="C30" s="4"/>
      <c r="D30" s="27" t="str">
        <f ca="1">OFFSET($D$4,$B30,)</f>
        <v>Case 2</v>
      </c>
      <c r="E30" s="4"/>
      <c r="F30" s="473">
        <f>F25/F15</f>
        <v>0.81814462658352849</v>
      </c>
      <c r="G30" s="47">
        <f>G25/G15</f>
        <v>0.83399423215573187</v>
      </c>
      <c r="H30" s="48">
        <f>H25/H15</f>
        <v>0.83999385419067374</v>
      </c>
      <c r="I30" s="458">
        <v>0.8</v>
      </c>
      <c r="J30" s="458">
        <v>0.79</v>
      </c>
      <c r="K30" s="458">
        <v>0.78</v>
      </c>
      <c r="M30" s="12" t="s">
        <v>7</v>
      </c>
    </row>
    <row r="31" spans="2:13" ht="15" customHeight="1">
      <c r="B31" s="10">
        <f>+B30+1</f>
        <v>3</v>
      </c>
      <c r="C31" s="4"/>
      <c r="D31" s="27" t="str">
        <f ca="1">OFFSET($D$4,$B31,)</f>
        <v>Case 3</v>
      </c>
      <c r="E31" s="4"/>
      <c r="F31" s="473">
        <f>F26/F16</f>
        <v>0.81814462658352849</v>
      </c>
      <c r="G31" s="47">
        <f>G26/G16</f>
        <v>0.83399423215573187</v>
      </c>
      <c r="H31" s="48">
        <f>H26/H16</f>
        <v>0.83999385419067374</v>
      </c>
      <c r="I31" s="49">
        <v>0.83</v>
      </c>
      <c r="J31" s="49">
        <v>0.84</v>
      </c>
      <c r="K31" s="49">
        <v>0.85</v>
      </c>
      <c r="M31" s="12" t="s">
        <v>9</v>
      </c>
    </row>
    <row r="32" spans="2:13" ht="12.75" customHeight="1">
      <c r="F32" s="472"/>
      <c r="H32" s="43"/>
      <c r="I32" s="50"/>
      <c r="J32" s="50"/>
    </row>
    <row r="33" spans="2:13" ht="15" customHeight="1">
      <c r="B33" s="21" t="s">
        <v>17</v>
      </c>
      <c r="C33" s="22"/>
      <c r="D33" s="22"/>
      <c r="E33" s="22"/>
      <c r="F33" s="448">
        <f ca="1">OFFSET(F33,$B$4,)</f>
        <v>602.59753285063005</v>
      </c>
      <c r="G33" s="72">
        <f ca="1">OFFSET(G33,$B$4,)</f>
        <v>656.32839999999999</v>
      </c>
      <c r="H33" s="449">
        <f ca="1">OFFSET(H33,$B$4,)</f>
        <v>663.86391551999998</v>
      </c>
      <c r="I33" s="72">
        <f ca="1">OFFSET(I33,$B$4,)</f>
        <v>609.84361651200004</v>
      </c>
      <c r="J33" s="72">
        <f ca="1">OFFSET(J33,$B$4,)</f>
        <v>671.08831695360004</v>
      </c>
      <c r="K33" s="72">
        <f ca="1">OFFSET(K33,$B$4,)</f>
        <v>979.64953132999688</v>
      </c>
    </row>
    <row r="34" spans="2:13" ht="15" customHeight="1">
      <c r="B34" s="10">
        <f>+B$5</f>
        <v>1</v>
      </c>
      <c r="C34" s="4"/>
      <c r="D34" s="27" t="str">
        <f ca="1">OFFSET($D$4,$B34,)</f>
        <v>Case 1</v>
      </c>
      <c r="E34" s="4"/>
      <c r="F34" s="28">
        <f>'Ex 1 Income Statement'!B8</f>
        <v>602.59753285063005</v>
      </c>
      <c r="G34" s="29">
        <f>'Ex 1 Income Statement'!C8</f>
        <v>656.32839999999999</v>
      </c>
      <c r="H34" s="30">
        <f>'Ex 1 Income Statement'!D8</f>
        <v>663.86391551999998</v>
      </c>
      <c r="I34" s="31">
        <f>I14*I39</f>
        <v>609.84361651200004</v>
      </c>
      <c r="J34" s="31">
        <f>J14*J39</f>
        <v>671.08831695360004</v>
      </c>
      <c r="K34" s="31">
        <f>K14*K39</f>
        <v>979.64953132999688</v>
      </c>
      <c r="M34" s="12" t="s">
        <v>5</v>
      </c>
    </row>
    <row r="35" spans="2:13" ht="15" customHeight="1">
      <c r="B35" s="10">
        <f>+B34+1</f>
        <v>2</v>
      </c>
      <c r="C35" s="4"/>
      <c r="D35" s="27" t="str">
        <f ca="1">OFFSET($D$4,$B35,)</f>
        <v>Case 2</v>
      </c>
      <c r="E35" s="4"/>
      <c r="F35" s="32">
        <v>602.6</v>
      </c>
      <c r="G35" s="33">
        <v>656.3</v>
      </c>
      <c r="H35" s="34">
        <v>663.9</v>
      </c>
      <c r="I35" s="31">
        <f>I15*I40</f>
        <v>587.39212500000008</v>
      </c>
      <c r="J35" s="31">
        <f>J15*J40</f>
        <v>656.14791900000012</v>
      </c>
      <c r="K35" s="31">
        <f>K15*K40</f>
        <v>564.1746783750001</v>
      </c>
      <c r="M35" s="12" t="s">
        <v>7</v>
      </c>
    </row>
    <row r="36" spans="2:13" ht="15" customHeight="1">
      <c r="B36" s="10">
        <f>+B35+1</f>
        <v>3</v>
      </c>
      <c r="C36" s="4"/>
      <c r="D36" s="27" t="str">
        <f ca="1">OFFSET($D$4,$B36,)</f>
        <v>Case 3</v>
      </c>
      <c r="E36" s="4"/>
      <c r="F36" s="32">
        <v>602.6</v>
      </c>
      <c r="G36" s="33">
        <v>656.3</v>
      </c>
      <c r="H36" s="34">
        <v>663.9</v>
      </c>
      <c r="I36" s="31">
        <f>I16*I41</f>
        <v>615.05325000000005</v>
      </c>
      <c r="J36" s="31">
        <f>J16*J41</f>
        <v>668.35786499999995</v>
      </c>
      <c r="K36" s="31">
        <f>K16*K41</f>
        <v>940.18601835000004</v>
      </c>
      <c r="M36" s="12" t="s">
        <v>9</v>
      </c>
    </row>
    <row r="37" spans="2:13" ht="12.75" customHeight="1">
      <c r="F37" s="42"/>
      <c r="H37" s="43"/>
    </row>
    <row r="38" spans="2:13" ht="15" customHeight="1">
      <c r="B38" s="44" t="s">
        <v>18</v>
      </c>
      <c r="C38" s="22"/>
      <c r="D38" s="22"/>
      <c r="E38" s="22"/>
      <c r="F38" s="454">
        <f ca="1">OFFSET(F38,$B$4,)</f>
        <v>8.5009385894341621E-2</v>
      </c>
      <c r="G38" s="45">
        <f ca="1">OFFSET(G38,$B$4,)</f>
        <v>9.0999999999999998E-2</v>
      </c>
      <c r="H38" s="451">
        <f ca="1">OFFSET(H38,$B$4,)</f>
        <v>0.10199999999999999</v>
      </c>
      <c r="I38" s="45">
        <f ca="1">OFFSET(I38,$B$4,)</f>
        <v>0.1</v>
      </c>
      <c r="J38" s="45">
        <f ca="1">OFFSET(J38,$B$4,)</f>
        <v>0.1</v>
      </c>
      <c r="K38" s="45">
        <f ca="1">OFFSET(K38,$B$4,)</f>
        <v>0.14000000000000001</v>
      </c>
    </row>
    <row r="39" spans="2:13" ht="15" customHeight="1">
      <c r="B39" s="10">
        <f>+B$5</f>
        <v>1</v>
      </c>
      <c r="C39" s="4"/>
      <c r="D39" s="27" t="str">
        <f ca="1">OFFSET($D$4,$B39,)</f>
        <v>Case 1</v>
      </c>
      <c r="E39" s="4"/>
      <c r="F39" s="51">
        <f>F34/F14</f>
        <v>8.5009385894341621E-2</v>
      </c>
      <c r="G39" s="47">
        <f>G34/G14</f>
        <v>9.0999999999999998E-2</v>
      </c>
      <c r="H39" s="48">
        <f>H34/H14</f>
        <v>0.10199999999999999</v>
      </c>
      <c r="I39" s="49">
        <v>0.1</v>
      </c>
      <c r="J39" s="49">
        <v>0.1</v>
      </c>
      <c r="K39" s="49">
        <v>0.14000000000000001</v>
      </c>
      <c r="M39" s="12" t="s">
        <v>5</v>
      </c>
    </row>
    <row r="40" spans="2:13" ht="15" customHeight="1">
      <c r="B40" s="10">
        <f>+B39+1</f>
        <v>2</v>
      </c>
      <c r="C40" s="4"/>
      <c r="D40" s="27" t="str">
        <f ca="1">OFFSET($D$4,$B40,)</f>
        <v>Case 2</v>
      </c>
      <c r="E40" s="4"/>
      <c r="F40" s="51">
        <f>F35/F15</f>
        <v>8.5009733939000645E-2</v>
      </c>
      <c r="G40" s="47">
        <f>G35/G15</f>
        <v>9.0996062337086125E-2</v>
      </c>
      <c r="H40" s="48">
        <f>H35/H15</f>
        <v>0.10200507029269416</v>
      </c>
      <c r="I40" s="49">
        <v>9.5000000000000001E-2</v>
      </c>
      <c r="J40" s="49">
        <v>9.5000000000000001E-2</v>
      </c>
      <c r="K40" s="49">
        <v>7.4999999999999997E-2</v>
      </c>
      <c r="M40" s="12" t="s">
        <v>7</v>
      </c>
    </row>
    <row r="41" spans="2:13" ht="15" customHeight="1">
      <c r="B41" s="10">
        <f>+B40+1</f>
        <v>3</v>
      </c>
      <c r="C41" s="4"/>
      <c r="D41" s="27" t="str">
        <f ca="1">OFFSET($D$4,$B41,)</f>
        <v>Case 3</v>
      </c>
      <c r="E41" s="4"/>
      <c r="F41" s="51">
        <f>F36/F16</f>
        <v>8.5009733939000645E-2</v>
      </c>
      <c r="G41" s="47">
        <f>G36/G16</f>
        <v>9.0996062337086125E-2</v>
      </c>
      <c r="H41" s="48">
        <f>H36/H16</f>
        <v>0.10200507029269416</v>
      </c>
      <c r="I41" s="49">
        <v>0.105</v>
      </c>
      <c r="J41" s="49">
        <v>0.105</v>
      </c>
      <c r="K41" s="49">
        <v>0.14249999999999999</v>
      </c>
      <c r="M41" s="12" t="s">
        <v>9</v>
      </c>
    </row>
    <row r="42" spans="2:13" ht="12.75" customHeight="1">
      <c r="F42" s="42"/>
      <c r="H42" s="43"/>
    </row>
    <row r="43" spans="2:13" ht="14.25" customHeight="1">
      <c r="B43" s="21" t="s">
        <v>19</v>
      </c>
      <c r="C43" s="22"/>
      <c r="D43" s="22"/>
      <c r="E43" s="22"/>
      <c r="F43" s="448">
        <f ca="1">OFFSET(F43,$B$4,)</f>
        <v>120.440189511518</v>
      </c>
      <c r="G43" s="72">
        <f ca="1">OFFSET(G43,$B$4,)</f>
        <v>129.82320000000001</v>
      </c>
      <c r="H43" s="449">
        <f ca="1">OFFSET(H43,$B$4,)</f>
        <v>143.18633471999999</v>
      </c>
      <c r="I43" s="72">
        <f ca="1">OFFSET(I43,$B$4,)</f>
        <v>121.96872330240001</v>
      </c>
      <c r="J43" s="72">
        <f ca="1">OFFSET(J43,$B$4,)</f>
        <v>134.21766339072002</v>
      </c>
      <c r="K43" s="72">
        <f ca="1">OFFSET(K43,$B$4,)</f>
        <v>122.45619141624961</v>
      </c>
    </row>
    <row r="44" spans="2:13" ht="12.75" customHeight="1">
      <c r="B44" s="10">
        <f>+B$5</f>
        <v>1</v>
      </c>
      <c r="C44" s="4"/>
      <c r="D44" s="27" t="str">
        <f ca="1">OFFSET($D$4,$B44,)</f>
        <v>Case 1</v>
      </c>
      <c r="E44" s="4"/>
      <c r="F44" s="28">
        <f>'Ex 1 Income Statement'!B9</f>
        <v>120.440189511518</v>
      </c>
      <c r="G44" s="29">
        <f>'Ex 1 Income Statement'!C9</f>
        <v>129.82320000000001</v>
      </c>
      <c r="H44" s="30">
        <f>'Ex 1 Income Statement'!D9</f>
        <v>143.18633471999999</v>
      </c>
      <c r="I44" s="52">
        <f>I14*I49</f>
        <v>121.96872330240001</v>
      </c>
      <c r="J44" s="52">
        <f>J14*J49</f>
        <v>134.21766339072002</v>
      </c>
      <c r="K44" s="52">
        <f>K14*K49</f>
        <v>122.45619141624961</v>
      </c>
      <c r="M44" s="12" t="s">
        <v>5</v>
      </c>
    </row>
    <row r="45" spans="2:13" ht="12.75" customHeight="1">
      <c r="B45" s="10">
        <f>+B44+1</f>
        <v>2</v>
      </c>
      <c r="C45" s="4"/>
      <c r="D45" s="27" t="str">
        <f ca="1">OFFSET($D$4,$B45,)</f>
        <v>Case 2</v>
      </c>
      <c r="E45" s="4"/>
      <c r="F45" s="32">
        <v>120.4</v>
      </c>
      <c r="G45" s="33">
        <v>129.80000000000001</v>
      </c>
      <c r="H45" s="34">
        <v>143.19999999999999</v>
      </c>
      <c r="I45" s="52">
        <f>I15*I50</f>
        <v>61.830750000000009</v>
      </c>
      <c r="J45" s="52">
        <f>J15*J50</f>
        <v>69.068202000000014</v>
      </c>
      <c r="K45" s="52">
        <f>K15*K50</f>
        <v>75.223290450000022</v>
      </c>
      <c r="M45" s="12" t="s">
        <v>7</v>
      </c>
    </row>
    <row r="46" spans="2:13" ht="12.75" customHeight="1">
      <c r="B46" s="10">
        <f>+B45+1</f>
        <v>3</v>
      </c>
      <c r="C46" s="4"/>
      <c r="D46" s="27" t="str">
        <f ca="1">OFFSET($D$4,$B46,)</f>
        <v>Case 3</v>
      </c>
      <c r="E46" s="4"/>
      <c r="F46" s="32">
        <v>120.4</v>
      </c>
      <c r="G46" s="33">
        <v>129.80000000000001</v>
      </c>
      <c r="H46" s="53">
        <v>143.19999999999999</v>
      </c>
      <c r="I46" s="52">
        <f>I16*I51</f>
        <v>146.44125000000003</v>
      </c>
      <c r="J46" s="52">
        <f>J16*J51</f>
        <v>159.13282500000003</v>
      </c>
      <c r="K46" s="52">
        <f>K16*K51</f>
        <v>131.95593240000002</v>
      </c>
      <c r="M46" s="12" t="s">
        <v>9</v>
      </c>
    </row>
    <row r="47" spans="2:13" ht="12.75" customHeight="1">
      <c r="F47" s="42"/>
      <c r="H47" s="43"/>
    </row>
    <row r="48" spans="2:13" ht="15" customHeight="1">
      <c r="B48" s="44" t="s">
        <v>20</v>
      </c>
      <c r="C48" s="22"/>
      <c r="D48" s="22"/>
      <c r="E48" s="22"/>
      <c r="F48" s="450">
        <f ca="1">OFFSET(F48,$B$4,)</f>
        <v>1.6990687796111785E-2</v>
      </c>
      <c r="G48" s="45">
        <f ca="1">OFFSET(G48,$B$4,)</f>
        <v>1.8000000000000002E-2</v>
      </c>
      <c r="H48" s="451">
        <f ca="1">OFFSET(H48,$B$4,)</f>
        <v>2.1999999999999999E-2</v>
      </c>
      <c r="I48" s="45">
        <f ca="1">OFFSET(I48,$B$4,)</f>
        <v>0.02</v>
      </c>
      <c r="J48" s="45">
        <f ca="1">OFFSET(J48,$B$4,)</f>
        <v>0.02</v>
      </c>
      <c r="K48" s="45">
        <f ca="1">OFFSET(K48,$B$4,)</f>
        <v>1.7500000000000002E-2</v>
      </c>
    </row>
    <row r="49" spans="2:13" ht="15" customHeight="1">
      <c r="B49" s="10">
        <f>+B$5</f>
        <v>1</v>
      </c>
      <c r="C49" s="4"/>
      <c r="D49" s="27" t="str">
        <f ca="1">OFFSET($D$4,$B49,)</f>
        <v>Case 1</v>
      </c>
      <c r="E49" s="4"/>
      <c r="F49" s="51">
        <f>F44/F14</f>
        <v>1.6990687796111785E-2</v>
      </c>
      <c r="G49" s="47">
        <f>G44/G14</f>
        <v>1.8000000000000002E-2</v>
      </c>
      <c r="H49" s="48">
        <f>H44/H14</f>
        <v>2.1999999999999999E-2</v>
      </c>
      <c r="I49" s="54">
        <v>0.02</v>
      </c>
      <c r="J49" s="54">
        <v>0.02</v>
      </c>
      <c r="K49" s="54">
        <v>1.7500000000000002E-2</v>
      </c>
      <c r="M49" s="12" t="s">
        <v>5</v>
      </c>
    </row>
    <row r="50" spans="2:13" ht="15" customHeight="1">
      <c r="B50" s="10">
        <f>+B49+1</f>
        <v>2</v>
      </c>
      <c r="C50" s="4"/>
      <c r="D50" s="27" t="str">
        <f ca="1">OFFSET($D$4,$B50,)</f>
        <v>Case 2</v>
      </c>
      <c r="E50" s="4"/>
      <c r="F50" s="51">
        <f>F45/F15</f>
        <v>1.6985018198233785E-2</v>
      </c>
      <c r="G50" s="47">
        <f>G45/G15</f>
        <v>1.7996783317619659E-2</v>
      </c>
      <c r="H50" s="48">
        <f>H45/H15</f>
        <v>2.2001997388031033E-2</v>
      </c>
      <c r="I50" s="54">
        <v>0.01</v>
      </c>
      <c r="J50" s="54">
        <v>0.01</v>
      </c>
      <c r="K50" s="54">
        <v>0.01</v>
      </c>
      <c r="M50" s="12" t="s">
        <v>7</v>
      </c>
    </row>
    <row r="51" spans="2:13" ht="15" customHeight="1">
      <c r="B51" s="10">
        <f>+B50+1</f>
        <v>3</v>
      </c>
      <c r="C51" s="4"/>
      <c r="D51" s="27" t="str">
        <f ca="1">OFFSET($D$4,$B51,)</f>
        <v>Case 3</v>
      </c>
      <c r="E51" s="4"/>
      <c r="F51" s="51">
        <f>F46/F16</f>
        <v>1.6985018198233785E-2</v>
      </c>
      <c r="G51" s="47">
        <f>G46/G16</f>
        <v>1.7996783317619659E-2</v>
      </c>
      <c r="H51" s="48">
        <f>H46/H16</f>
        <v>2.2001997388031033E-2</v>
      </c>
      <c r="I51" s="54">
        <v>2.5000000000000001E-2</v>
      </c>
      <c r="J51" s="54">
        <v>2.5000000000000001E-2</v>
      </c>
      <c r="K51" s="54">
        <v>0.02</v>
      </c>
      <c r="M51" s="12" t="s">
        <v>9</v>
      </c>
    </row>
    <row r="52" spans="2:13" ht="12.75" customHeight="1">
      <c r="F52" s="55"/>
      <c r="G52" s="50"/>
      <c r="H52" s="56"/>
      <c r="I52" s="50"/>
      <c r="J52" s="50"/>
      <c r="K52" s="50"/>
    </row>
    <row r="53" spans="2:13" s="57" customFormat="1" ht="15" customHeight="1">
      <c r="B53" s="21" t="s">
        <v>21</v>
      </c>
      <c r="C53" s="22"/>
      <c r="D53" s="22"/>
      <c r="E53" s="22"/>
      <c r="F53" s="448">
        <f ca="1">OFFSET(F53,$B$4,)</f>
        <v>58.295450075981101</v>
      </c>
      <c r="G53" s="72">
        <f ca="1">OFFSET(G53,$B$4,)</f>
        <v>57.699199999999998</v>
      </c>
      <c r="H53" s="449">
        <f ca="1">OFFSET(H53,$B$4,)</f>
        <v>25.1466046810372</v>
      </c>
      <c r="I53" s="72">
        <f ca="1">OFFSET(I53,$B$4,)</f>
        <v>30.492180825600002</v>
      </c>
      <c r="J53" s="72">
        <f ca="1">OFFSET(J53,$B$4,)</f>
        <v>33.554415847680005</v>
      </c>
      <c r="K53" s="72">
        <f ca="1">OFFSET(K53,$B$4,)</f>
        <v>34.987483261785599</v>
      </c>
      <c r="M53" s="1"/>
    </row>
    <row r="54" spans="2:13" ht="15" customHeight="1">
      <c r="B54" s="10">
        <f>+B$5</f>
        <v>1</v>
      </c>
      <c r="C54" s="4"/>
      <c r="D54" s="27" t="str">
        <f ca="1">OFFSET($D$4,$B54,)</f>
        <v>Case 1</v>
      </c>
      <c r="E54" s="4"/>
      <c r="F54" s="58">
        <f>'Ex 1 Income Statement'!B10</f>
        <v>58.295450075981101</v>
      </c>
      <c r="G54" s="59">
        <f>'Ex 1 Income Statement'!C10</f>
        <v>57.699199999999998</v>
      </c>
      <c r="H54" s="60">
        <f>'Ex 1 Income Statement'!D10</f>
        <v>25.1466046810372</v>
      </c>
      <c r="I54" s="61">
        <f>I14*I59</f>
        <v>30.492180825600002</v>
      </c>
      <c r="J54" s="61">
        <f>J14*J59</f>
        <v>33.554415847680005</v>
      </c>
      <c r="K54" s="61">
        <f>K14*K59</f>
        <v>34.987483261785599</v>
      </c>
      <c r="M54" s="12" t="s">
        <v>5</v>
      </c>
    </row>
    <row r="55" spans="2:13" ht="15" customHeight="1">
      <c r="B55" s="10">
        <f>+B54+1</f>
        <v>2</v>
      </c>
      <c r="C55" s="4"/>
      <c r="D55" s="27" t="str">
        <f ca="1">OFFSET($D$4,$B55,)</f>
        <v>Case 2</v>
      </c>
      <c r="E55" s="4"/>
      <c r="F55" s="62">
        <v>58.295450075981101</v>
      </c>
      <c r="G55" s="63">
        <v>57.699199999999998</v>
      </c>
      <c r="H55" s="64">
        <v>25.1466046810372</v>
      </c>
      <c r="I55" s="61">
        <f>I15*I60</f>
        <v>30.915375000000004</v>
      </c>
      <c r="J55" s="61">
        <f>J15*J60</f>
        <v>34.534101000000007</v>
      </c>
      <c r="K55" s="61">
        <f>K15*K60</f>
        <v>37.611645225000011</v>
      </c>
      <c r="M55" s="12" t="s">
        <v>7</v>
      </c>
    </row>
    <row r="56" spans="2:13" ht="15" customHeight="1">
      <c r="B56" s="10">
        <f>+B55+1</f>
        <v>3</v>
      </c>
      <c r="C56" s="4"/>
      <c r="D56" s="27" t="str">
        <f ca="1">OFFSET($D$4,$B56,)</f>
        <v>Case 3</v>
      </c>
      <c r="E56" s="4"/>
      <c r="F56" s="62">
        <v>58.295450075981101</v>
      </c>
      <c r="G56" s="63">
        <v>57.699199999999998</v>
      </c>
      <c r="H56" s="64">
        <v>25.1466046810372</v>
      </c>
      <c r="I56" s="61">
        <f>I16*I61</f>
        <v>29.288250000000005</v>
      </c>
      <c r="J56" s="61">
        <f>J16*J61</f>
        <v>31.826565000000002</v>
      </c>
      <c r="K56" s="61">
        <f>K16*K61</f>
        <v>32.988983100000006</v>
      </c>
      <c r="M56" s="12" t="s">
        <v>9</v>
      </c>
    </row>
    <row r="57" spans="2:13" ht="12.75" customHeight="1">
      <c r="F57" s="42"/>
      <c r="H57" s="43"/>
    </row>
    <row r="58" spans="2:13" ht="15" customHeight="1">
      <c r="B58" s="44" t="s">
        <v>22</v>
      </c>
      <c r="C58" s="22"/>
      <c r="D58" s="22"/>
      <c r="E58" s="22"/>
      <c r="F58" s="450">
        <f ca="1">OFFSET(F58,$B$4,)</f>
        <v>8.2238312326807974E-3</v>
      </c>
      <c r="G58" s="45">
        <f ca="1">OFFSET(G58,$B$4,)</f>
        <v>8.0000000000000002E-3</v>
      </c>
      <c r="H58" s="451">
        <f ca="1">OFFSET(H58,$B$4,)</f>
        <v>3.8636738908405409E-3</v>
      </c>
      <c r="I58" s="45">
        <f ca="1">OFFSET(I58,$B$4,)</f>
        <v>5.0000000000000001E-3</v>
      </c>
      <c r="J58" s="45">
        <f ca="1">OFFSET(J58,$B$4,)</f>
        <v>5.0000000000000001E-3</v>
      </c>
      <c r="K58" s="45">
        <f ca="1">OFFSET(K58,$B$4,)</f>
        <v>5.0000000000000001E-3</v>
      </c>
    </row>
    <row r="59" spans="2:13" ht="15" customHeight="1">
      <c r="B59" s="10">
        <f>+B$5</f>
        <v>1</v>
      </c>
      <c r="C59" s="4"/>
      <c r="D59" s="27" t="str">
        <f ca="1">OFFSET($D$4,$B59,)</f>
        <v>Case 1</v>
      </c>
      <c r="E59" s="4"/>
      <c r="F59" s="51">
        <f>F54/F14</f>
        <v>8.2238312326807974E-3</v>
      </c>
      <c r="G59" s="47">
        <f>G54/G14</f>
        <v>8.0000000000000002E-3</v>
      </c>
      <c r="H59" s="48">
        <f>H54/H14</f>
        <v>3.8636738908405409E-3</v>
      </c>
      <c r="I59" s="65">
        <v>5.0000000000000001E-3</v>
      </c>
      <c r="J59" s="65">
        <v>5.0000000000000001E-3</v>
      </c>
      <c r="K59" s="65">
        <v>5.0000000000000001E-3</v>
      </c>
      <c r="M59" s="12" t="s">
        <v>5</v>
      </c>
    </row>
    <row r="60" spans="2:13" ht="15" customHeight="1">
      <c r="B60" s="10">
        <f>+B59+1</f>
        <v>2</v>
      </c>
      <c r="C60" s="4"/>
      <c r="D60" s="27" t="str">
        <f ca="1">OFFSET($D$4,$B60,)</f>
        <v>Case 2</v>
      </c>
      <c r="E60" s="4"/>
      <c r="F60" s="51">
        <v>8.2000000000000007E-3</v>
      </c>
      <c r="G60" s="47">
        <v>8.0000000000000002E-3</v>
      </c>
      <c r="H60" s="48">
        <v>3.8999999999999998E-3</v>
      </c>
      <c r="I60" s="65">
        <v>5.0000000000000001E-3</v>
      </c>
      <c r="J60" s="65">
        <v>5.0000000000000001E-3</v>
      </c>
      <c r="K60" s="65">
        <v>5.0000000000000001E-3</v>
      </c>
      <c r="M60" s="12" t="s">
        <v>7</v>
      </c>
    </row>
    <row r="61" spans="2:13" ht="15" customHeight="1">
      <c r="B61" s="10">
        <f>+B60+1</f>
        <v>3</v>
      </c>
      <c r="C61" s="4"/>
      <c r="D61" s="27" t="str">
        <f ca="1">OFFSET($D$4,$B61,)</f>
        <v>Case 3</v>
      </c>
      <c r="E61" s="4"/>
      <c r="F61" s="51">
        <v>8.2000000000000007E-3</v>
      </c>
      <c r="G61" s="47">
        <v>8.0000000000000002E-3</v>
      </c>
      <c r="H61" s="48">
        <v>3.8999999999999998E-3</v>
      </c>
      <c r="I61" s="65">
        <v>5.0000000000000001E-3</v>
      </c>
      <c r="J61" s="65">
        <v>5.0000000000000001E-3</v>
      </c>
      <c r="K61" s="65">
        <v>5.0000000000000001E-3</v>
      </c>
      <c r="M61" s="12" t="s">
        <v>9</v>
      </c>
    </row>
    <row r="62" spans="2:13" ht="12.75" customHeight="1">
      <c r="F62" s="42"/>
      <c r="H62" s="43"/>
    </row>
    <row r="63" spans="2:13" ht="15" customHeight="1">
      <c r="B63" s="21" t="s">
        <v>23</v>
      </c>
      <c r="C63" s="22"/>
      <c r="D63" s="22"/>
      <c r="E63" s="22"/>
      <c r="F63" s="448">
        <f ca="1">OFFSET(F63,$B$4,)</f>
        <v>273.73515687852</v>
      </c>
      <c r="G63" s="72">
        <f ca="1">OFFSET(G63,$B$4,)</f>
        <v>291.64682733098698</v>
      </c>
      <c r="H63" s="449">
        <f ca="1">OFFSET(H63,$B$4,)</f>
        <v>260.33879039999999</v>
      </c>
      <c r="I63" s="72">
        <f ca="1">OFFSET(I63,$B$4,)</f>
        <v>258.29766738948115</v>
      </c>
      <c r="J63" s="72">
        <f ca="1">OFFSET(J63,$B$4,)</f>
        <v>258.29766738948115</v>
      </c>
      <c r="K63" s="72">
        <f ca="1">OFFSET(K63,$B$4,)</f>
        <v>258.29766738948115</v>
      </c>
    </row>
    <row r="64" spans="2:13" ht="15" customHeight="1">
      <c r="B64" s="10">
        <f>+B$5</f>
        <v>1</v>
      </c>
      <c r="C64" s="4"/>
      <c r="D64" s="27" t="str">
        <f ca="1">OFFSET($D$4,$B64,)</f>
        <v>Case 1</v>
      </c>
      <c r="E64" s="4"/>
      <c r="F64" s="28">
        <f>'Ex 1 Income Statement'!B21</f>
        <v>273.73515687852</v>
      </c>
      <c r="G64" s="29">
        <f>'Ex 1 Income Statement'!C21</f>
        <v>291.64682733098698</v>
      </c>
      <c r="H64" s="30">
        <f>'Ex 1 Income Statement'!D21</f>
        <v>260.33879039999999</v>
      </c>
      <c r="I64" s="31">
        <f>I69*'Ex 2 Balance Sheet'!$C$15</f>
        <v>258.29766738948115</v>
      </c>
      <c r="J64" s="31">
        <f>J69*'Ex 2 Balance Sheet'!$C$15</f>
        <v>258.29766738948115</v>
      </c>
      <c r="K64" s="31">
        <f>K69*'Ex 2 Balance Sheet'!$C$15</f>
        <v>258.29766738948115</v>
      </c>
      <c r="M64" s="12" t="s">
        <v>5</v>
      </c>
    </row>
    <row r="65" spans="2:13" ht="15" customHeight="1">
      <c r="B65" s="10">
        <f>+B64+1</f>
        <v>2</v>
      </c>
      <c r="C65" s="4"/>
      <c r="D65" s="27" t="str">
        <f ca="1">OFFSET($D$4,$B65,)</f>
        <v>Case 2</v>
      </c>
      <c r="E65" s="4"/>
      <c r="F65" s="66">
        <v>273.7</v>
      </c>
      <c r="G65" s="67">
        <v>291.60000000000002</v>
      </c>
      <c r="H65" s="68">
        <v>260.3</v>
      </c>
      <c r="I65" s="31">
        <f>I70*'Ex 2 Balance Sheet'!$C$15</f>
        <v>239.30519184613692</v>
      </c>
      <c r="J65" s="31">
        <f>J70*'Ex 2 Balance Sheet'!$C$15</f>
        <v>239.30519184613692</v>
      </c>
      <c r="K65" s="31">
        <f>K70*'Ex 2 Balance Sheet'!$C$15</f>
        <v>239.30519184613692</v>
      </c>
      <c r="M65" s="12" t="s">
        <v>7</v>
      </c>
    </row>
    <row r="66" spans="2:13" ht="15" customHeight="1">
      <c r="B66" s="10">
        <f>+B65+1</f>
        <v>3</v>
      </c>
      <c r="C66" s="4"/>
      <c r="D66" s="27" t="str">
        <f ca="1">OFFSET($D$4,$B66,)</f>
        <v>Case 3</v>
      </c>
      <c r="E66" s="4"/>
      <c r="F66" s="66">
        <v>273.7</v>
      </c>
      <c r="G66" s="67">
        <v>291.60000000000002</v>
      </c>
      <c r="H66" s="68">
        <v>260.3</v>
      </c>
      <c r="I66" s="31">
        <f>I71*'Ex 2 Balance Sheet'!$C$15</f>
        <v>265.89465760681884</v>
      </c>
      <c r="J66" s="31">
        <f>J71*'Ex 2 Balance Sheet'!$C$15</f>
        <v>265.89465760681884</v>
      </c>
      <c r="K66" s="31">
        <f>K71*'Ex 2 Balance Sheet'!$C$15</f>
        <v>265.89465760681884</v>
      </c>
      <c r="M66" s="12" t="s">
        <v>9</v>
      </c>
    </row>
    <row r="67" spans="2:13" ht="12.75" customHeight="1">
      <c r="F67" s="42"/>
      <c r="H67" s="43"/>
    </row>
    <row r="68" spans="2:13" ht="15" customHeight="1">
      <c r="B68" s="44" t="s">
        <v>24</v>
      </c>
      <c r="C68" s="22"/>
      <c r="D68" s="22"/>
      <c r="E68" s="22"/>
      <c r="F68" s="23"/>
      <c r="G68" s="45">
        <f ca="1">OFFSET(G68,$B$4,)</f>
        <v>7.7043589818552138E-2</v>
      </c>
      <c r="H68" s="451">
        <f ca="1">OFFSET(H68,$B$4,)</f>
        <v>6.8537350438035494E-2</v>
      </c>
      <c r="I68" s="45">
        <f ca="1">OFFSET(I68,$B$4,)</f>
        <v>6.8000000000000005E-2</v>
      </c>
      <c r="J68" s="45">
        <f ca="1">OFFSET(J68,$B$4,)</f>
        <v>6.8000000000000005E-2</v>
      </c>
      <c r="K68" s="45">
        <f ca="1">OFFSET(K68,$B$4,)</f>
        <v>6.8000000000000005E-2</v>
      </c>
    </row>
    <row r="69" spans="2:13" ht="15" customHeight="1">
      <c r="B69" s="10">
        <f>+B$5</f>
        <v>1</v>
      </c>
      <c r="C69" s="4"/>
      <c r="D69" s="27" t="str">
        <f ca="1">OFFSET($D$4,$B69,)</f>
        <v>Case 1</v>
      </c>
      <c r="E69" s="4"/>
      <c r="F69" s="46"/>
      <c r="G69" s="47">
        <f>G64/'Ex 2 Balance Sheet'!$B$15</f>
        <v>7.7043589818552138E-2</v>
      </c>
      <c r="H69" s="48">
        <f>H64/'Ex 2 Balance Sheet'!$C$15</f>
        <v>6.8537350438035494E-2</v>
      </c>
      <c r="I69" s="49">
        <v>6.8000000000000005E-2</v>
      </c>
      <c r="J69" s="49">
        <v>6.8000000000000005E-2</v>
      </c>
      <c r="K69" s="49">
        <v>6.8000000000000005E-2</v>
      </c>
      <c r="M69" s="12" t="s">
        <v>5</v>
      </c>
    </row>
    <row r="70" spans="2:13" ht="15" customHeight="1">
      <c r="B70" s="10">
        <f>+B69+1</f>
        <v>2</v>
      </c>
      <c r="C70" s="4"/>
      <c r="D70" s="27" t="str">
        <f ca="1">OFFSET($D$4,$B70,)</f>
        <v>Case 2</v>
      </c>
      <c r="E70" s="4"/>
      <c r="F70" s="46"/>
      <c r="G70" s="47">
        <f>G65/'Ex 2 Balance Sheet'!$B$15</f>
        <v>7.7031219563357275E-2</v>
      </c>
      <c r="H70" s="48">
        <f>H65/'Ex 2 Balance Sheet'!$C$15</f>
        <v>6.8527138393820547E-2</v>
      </c>
      <c r="I70" s="49">
        <v>6.3E-2</v>
      </c>
      <c r="J70" s="49">
        <v>6.3E-2</v>
      </c>
      <c r="K70" s="49">
        <v>6.3E-2</v>
      </c>
      <c r="M70" s="12" t="s">
        <v>7</v>
      </c>
    </row>
    <row r="71" spans="2:13" ht="15" customHeight="1">
      <c r="B71" s="10">
        <f>+B70+1</f>
        <v>3</v>
      </c>
      <c r="C71" s="4"/>
      <c r="D71" s="27" t="str">
        <f ca="1">OFFSET($D$4,$B71,)</f>
        <v>Case 3</v>
      </c>
      <c r="E71" s="4"/>
      <c r="F71" s="46"/>
      <c r="G71" s="47">
        <f>G66/'Ex 2 Balance Sheet'!$B$15</f>
        <v>7.7031219563357275E-2</v>
      </c>
      <c r="H71" s="48">
        <f>H66/'Ex 2 Balance Sheet'!$C$15</f>
        <v>6.8527138393820547E-2</v>
      </c>
      <c r="I71" s="49">
        <v>7.0000000000000007E-2</v>
      </c>
      <c r="J71" s="49">
        <v>7.0000000000000007E-2</v>
      </c>
      <c r="K71" s="49">
        <v>7.0000000000000007E-2</v>
      </c>
      <c r="M71" s="12" t="s">
        <v>9</v>
      </c>
    </row>
    <row r="72" spans="2:13" ht="12.75" customHeight="1">
      <c r="F72" s="42"/>
      <c r="H72" s="43"/>
    </row>
    <row r="73" spans="2:13" ht="12.75" customHeight="1">
      <c r="B73" s="57" t="s">
        <v>25</v>
      </c>
      <c r="C73" s="57"/>
      <c r="D73" s="57"/>
      <c r="E73" s="57"/>
      <c r="F73" s="69"/>
      <c r="G73" s="78">
        <v>365</v>
      </c>
      <c r="H73" s="447">
        <v>365</v>
      </c>
      <c r="I73" s="78">
        <v>365</v>
      </c>
      <c r="J73" s="78">
        <v>365</v>
      </c>
      <c r="K73" s="78">
        <v>365</v>
      </c>
    </row>
    <row r="74" spans="2:13" ht="15" customHeight="1">
      <c r="B74" s="21" t="s">
        <v>26</v>
      </c>
      <c r="C74" s="22"/>
      <c r="D74" s="22"/>
      <c r="E74" s="22"/>
      <c r="F74" s="23"/>
      <c r="G74" s="72">
        <f ca="1">OFFSET(G74,$B$4,)</f>
        <v>68.774116910100474</v>
      </c>
      <c r="H74" s="449">
        <f ca="1">OFFSET(H74,$B$4,)</f>
        <v>75.998507020704267</v>
      </c>
      <c r="I74" s="72">
        <f ca="1">OFFSET(I74,$B$4,)</f>
        <v>80</v>
      </c>
      <c r="J74" s="72">
        <f ca="1">OFFSET(J74,$B$4,)</f>
        <v>80</v>
      </c>
      <c r="K74" s="72">
        <f ca="1">OFFSET(K74,$B$4,)</f>
        <v>80</v>
      </c>
    </row>
    <row r="75" spans="2:13" ht="15" customHeight="1">
      <c r="B75" s="10">
        <f>+B$5</f>
        <v>1</v>
      </c>
      <c r="C75" s="4"/>
      <c r="D75" s="27" t="str">
        <f ca="1">OFFSET($D$4,$B75,)</f>
        <v>Case 1</v>
      </c>
      <c r="E75" s="4"/>
      <c r="F75" s="42"/>
      <c r="G75" s="31">
        <f>('Ex 2 Balance Sheet'!B8/'Ex 1 Income Statement'!C6)*Feeder!G73</f>
        <v>68.774116910100474</v>
      </c>
      <c r="H75" s="73">
        <f>('Ex 2 Balance Sheet'!C8/'Ex 1 Income Statement'!D6)*Feeder!H73</f>
        <v>75.998507020704267</v>
      </c>
      <c r="I75" s="33">
        <v>80</v>
      </c>
      <c r="J75" s="33">
        <v>80</v>
      </c>
      <c r="K75" s="33">
        <v>80</v>
      </c>
      <c r="M75" s="12" t="s">
        <v>5</v>
      </c>
    </row>
    <row r="76" spans="2:13" ht="15" customHeight="1">
      <c r="B76" s="10">
        <f>+B75+1</f>
        <v>2</v>
      </c>
      <c r="C76" s="4"/>
      <c r="D76" s="27" t="str">
        <f ca="1">OFFSET($D$4,$B76,)</f>
        <v>Case 2</v>
      </c>
      <c r="E76" s="4"/>
      <c r="F76" s="46"/>
      <c r="G76" s="33">
        <v>68.8</v>
      </c>
      <c r="H76" s="34">
        <v>76</v>
      </c>
      <c r="I76" s="33">
        <v>78</v>
      </c>
      <c r="J76" s="33">
        <v>78</v>
      </c>
      <c r="K76" s="33">
        <v>78</v>
      </c>
      <c r="M76" s="12" t="s">
        <v>7</v>
      </c>
    </row>
    <row r="77" spans="2:13" ht="15" customHeight="1">
      <c r="B77" s="10">
        <f>+B76+1</f>
        <v>3</v>
      </c>
      <c r="C77" s="4"/>
      <c r="D77" s="27" t="str">
        <f ca="1">OFFSET($D$4,$B77,)</f>
        <v>Case 3</v>
      </c>
      <c r="E77" s="4"/>
      <c r="F77" s="46"/>
      <c r="G77" s="33">
        <v>68.8</v>
      </c>
      <c r="H77" s="34">
        <v>76</v>
      </c>
      <c r="I77" s="33">
        <v>76</v>
      </c>
      <c r="J77" s="33">
        <v>76</v>
      </c>
      <c r="K77" s="33">
        <v>76</v>
      </c>
      <c r="M77" s="12" t="s">
        <v>9</v>
      </c>
    </row>
    <row r="78" spans="2:13" ht="12.75" customHeight="1">
      <c r="F78" s="42"/>
      <c r="H78" s="43"/>
    </row>
    <row r="79" spans="2:13" ht="15" customHeight="1">
      <c r="B79" s="21" t="s">
        <v>27</v>
      </c>
      <c r="C79" s="22"/>
      <c r="D79" s="22"/>
      <c r="E79" s="22"/>
      <c r="F79" s="23"/>
      <c r="G79" s="72">
        <f ca="1">OFFSET(G79,$B$4,)</f>
        <v>50.801516382345142</v>
      </c>
      <c r="H79" s="449">
        <f ca="1">OFFSET(H79,$B$4,)</f>
        <v>52.489635515633076</v>
      </c>
      <c r="I79" s="72">
        <f ca="1">OFFSET(I79,$B$4,)</f>
        <v>53</v>
      </c>
      <c r="J79" s="72">
        <f ca="1">OFFSET(J79,$B$4,)</f>
        <v>53</v>
      </c>
      <c r="K79" s="72">
        <f ca="1">OFFSET(K79,$B$4,)</f>
        <v>53</v>
      </c>
    </row>
    <row r="80" spans="2:13" ht="15" customHeight="1">
      <c r="B80" s="10">
        <f>+B$5</f>
        <v>1</v>
      </c>
      <c r="C80" s="4"/>
      <c r="D80" s="27" t="str">
        <f ca="1">OFFSET($D$4,$B80,)</f>
        <v>Case 1</v>
      </c>
      <c r="E80" s="4"/>
      <c r="F80" s="46"/>
      <c r="G80" s="31">
        <f ca="1">('Ex 2 Balance Sheet'!B7/Feeder!G13)*Feeder!G73</f>
        <v>50.801516382345142</v>
      </c>
      <c r="H80" s="73">
        <f ca="1">('Ex 2 Balance Sheet'!C7/Feeder!H13)*Feeder!H73</f>
        <v>52.489635515633076</v>
      </c>
      <c r="I80" s="33">
        <v>53</v>
      </c>
      <c r="J80" s="33">
        <v>53</v>
      </c>
      <c r="K80" s="33">
        <v>53</v>
      </c>
      <c r="M80" s="12" t="s">
        <v>5</v>
      </c>
    </row>
    <row r="81" spans="2:13" ht="15" customHeight="1">
      <c r="B81" s="10">
        <f>+B80+1</f>
        <v>2</v>
      </c>
      <c r="C81" s="4"/>
      <c r="D81" s="27" t="str">
        <f ca="1">OFFSET($D$4,$B81,)</f>
        <v>Case 2</v>
      </c>
      <c r="E81" s="4"/>
      <c r="F81" s="46"/>
      <c r="G81" s="33">
        <v>50.8</v>
      </c>
      <c r="H81" s="34">
        <v>52.49</v>
      </c>
      <c r="I81" s="33">
        <v>54</v>
      </c>
      <c r="J81" s="33">
        <v>54</v>
      </c>
      <c r="K81" s="33">
        <v>54</v>
      </c>
      <c r="M81" s="12" t="s">
        <v>7</v>
      </c>
    </row>
    <row r="82" spans="2:13" ht="15" customHeight="1">
      <c r="B82" s="10">
        <f>+B81+1</f>
        <v>3</v>
      </c>
      <c r="C82" s="4"/>
      <c r="D82" s="27" t="str">
        <f ca="1">OFFSET($D$4,$B82,)</f>
        <v>Case 3</v>
      </c>
      <c r="E82" s="4"/>
      <c r="F82" s="46"/>
      <c r="G82" s="33">
        <v>50.8</v>
      </c>
      <c r="H82" s="34">
        <v>52.49</v>
      </c>
      <c r="I82" s="33">
        <v>55</v>
      </c>
      <c r="J82" s="33">
        <v>55</v>
      </c>
      <c r="K82" s="33">
        <v>55</v>
      </c>
      <c r="M82" s="12" t="s">
        <v>9</v>
      </c>
    </row>
    <row r="83" spans="2:13" ht="12.75" customHeight="1">
      <c r="F83" s="42"/>
      <c r="H83" s="43"/>
    </row>
    <row r="84" spans="2:13" ht="15" customHeight="1">
      <c r="B84" s="21" t="s">
        <v>28</v>
      </c>
      <c r="C84" s="22"/>
      <c r="D84" s="22"/>
      <c r="E84" s="22"/>
      <c r="F84" s="23"/>
      <c r="G84" s="72">
        <f ca="1">OFFSET(G84,$B$4,)</f>
        <v>42.149329548005255</v>
      </c>
      <c r="H84" s="449">
        <f ca="1">OFFSET(H84,$B$4,)</f>
        <v>45.711694593194011</v>
      </c>
      <c r="I84" s="72">
        <f ca="1">OFFSET(I84,$B$4,)</f>
        <v>46</v>
      </c>
      <c r="J84" s="72">
        <f ca="1">OFFSET(J84,$B$4,)</f>
        <v>46</v>
      </c>
      <c r="K84" s="72">
        <f ca="1">OFFSET(K84,$B$4,)</f>
        <v>46</v>
      </c>
    </row>
    <row r="85" spans="2:13" ht="15" customHeight="1">
      <c r="B85" s="10">
        <f>+B$5</f>
        <v>1</v>
      </c>
      <c r="C85" s="4"/>
      <c r="D85" s="27" t="str">
        <f ca="1">OFFSET($D$4,$B85,)</f>
        <v>Case 1</v>
      </c>
      <c r="E85" s="4"/>
      <c r="F85" s="46"/>
      <c r="G85" s="31">
        <f>('Ex 2 Balance Sheet'!B23/Feeder!G24)*Feeder!G73</f>
        <v>42.149329548005255</v>
      </c>
      <c r="H85" s="73">
        <f>('Ex 2 Balance Sheet'!C23/Feeder!H24)*Feeder!H73</f>
        <v>45.711694593194011</v>
      </c>
      <c r="I85" s="33">
        <v>46</v>
      </c>
      <c r="J85" s="33">
        <v>46</v>
      </c>
      <c r="K85" s="33">
        <v>46</v>
      </c>
      <c r="M85" s="12" t="s">
        <v>5</v>
      </c>
    </row>
    <row r="86" spans="2:13" ht="15" customHeight="1">
      <c r="B86" s="10">
        <f>+B85+1</f>
        <v>2</v>
      </c>
      <c r="C86" s="4"/>
      <c r="D86" s="27" t="str">
        <f ca="1">OFFSET($D$4,$B86,)</f>
        <v>Case 2</v>
      </c>
      <c r="E86" s="4"/>
      <c r="F86" s="46"/>
      <c r="G86" s="33">
        <v>42.1</v>
      </c>
      <c r="H86" s="34">
        <v>45.7</v>
      </c>
      <c r="I86" s="33">
        <v>45</v>
      </c>
      <c r="J86" s="33">
        <v>45</v>
      </c>
      <c r="K86" s="33">
        <v>45</v>
      </c>
      <c r="M86" s="12" t="s">
        <v>7</v>
      </c>
    </row>
    <row r="87" spans="2:13" ht="15" customHeight="1">
      <c r="B87" s="10">
        <f>+B86+1</f>
        <v>3</v>
      </c>
      <c r="C87" s="4"/>
      <c r="D87" s="27" t="str">
        <f ca="1">OFFSET($D$4,$B87,)</f>
        <v>Case 3</v>
      </c>
      <c r="E87" s="4"/>
      <c r="F87" s="46"/>
      <c r="G87" s="33">
        <v>42.1</v>
      </c>
      <c r="H87" s="34">
        <v>45.7</v>
      </c>
      <c r="I87" s="33">
        <v>44</v>
      </c>
      <c r="J87" s="33">
        <v>44</v>
      </c>
      <c r="K87" s="33">
        <v>44</v>
      </c>
      <c r="M87" s="12" t="s">
        <v>9</v>
      </c>
    </row>
    <row r="88" spans="2:13" ht="12.75" customHeight="1">
      <c r="F88" s="42"/>
      <c r="H88" s="43"/>
    </row>
    <row r="89" spans="2:13" ht="15" customHeight="1">
      <c r="B89" s="21" t="s">
        <v>29</v>
      </c>
      <c r="C89" s="22"/>
      <c r="D89" s="22"/>
      <c r="E89" s="22"/>
      <c r="F89" s="452">
        <f ca="1">OFFSET(F89,$B$4,)+G94</f>
        <v>261.06223294895898</v>
      </c>
      <c r="G89" s="74">
        <f ca="1">OFFSET(G89,$B$4,)+H94</f>
        <v>306.61976712699698</v>
      </c>
      <c r="H89" s="453">
        <f ca="1">OFFSET(H89,$B$4,)+I94</f>
        <v>273.35572991999999</v>
      </c>
      <c r="I89" s="74">
        <f ca="1">OFFSET(I89,$B$4,)+I94</f>
        <v>250</v>
      </c>
      <c r="J89" s="74">
        <f ca="1">OFFSET(J89,$B$4,)+J94</f>
        <v>700</v>
      </c>
      <c r="K89" s="74">
        <f ca="1">OFFSET(K89,$B$4,)+K94</f>
        <v>350</v>
      </c>
    </row>
    <row r="90" spans="2:13" ht="15" customHeight="1">
      <c r="B90" s="10">
        <f>+B$5</f>
        <v>1</v>
      </c>
      <c r="C90" s="4"/>
      <c r="D90" s="27" t="str">
        <f ca="1">OFFSET($D$4,$B90,)</f>
        <v>Case 1</v>
      </c>
      <c r="F90" s="75">
        <f>-'Ex 1 Income Statement'!B20</f>
        <v>261.06223294895898</v>
      </c>
      <c r="G90" s="76">
        <f>-'Ex 1 Income Statement'!C20</f>
        <v>306.61976712699698</v>
      </c>
      <c r="H90" s="77">
        <f>-'Ex 1 Income Statement'!D20</f>
        <v>273.35572991999999</v>
      </c>
      <c r="I90" s="78">
        <v>250</v>
      </c>
      <c r="J90" s="78">
        <v>250</v>
      </c>
      <c r="K90" s="78">
        <v>350</v>
      </c>
      <c r="M90" s="12" t="s">
        <v>5</v>
      </c>
    </row>
    <row r="91" spans="2:13" ht="15" customHeight="1">
      <c r="B91" s="10">
        <f>+B90+1</f>
        <v>2</v>
      </c>
      <c r="C91" s="4"/>
      <c r="D91" s="27" t="str">
        <f ca="1">OFFSET($D$4,$B91,)</f>
        <v>Case 2</v>
      </c>
      <c r="F91" s="75">
        <f>F90</f>
        <v>261.06223294895898</v>
      </c>
      <c r="G91" s="76">
        <f>G90</f>
        <v>306.61976712699698</v>
      </c>
      <c r="H91" s="77">
        <f>H90</f>
        <v>273.35572991999999</v>
      </c>
      <c r="I91" s="78">
        <v>225</v>
      </c>
      <c r="J91" s="78">
        <v>225</v>
      </c>
      <c r="K91" s="78">
        <v>225</v>
      </c>
      <c r="M91" s="12" t="s">
        <v>7</v>
      </c>
    </row>
    <row r="92" spans="2:13" ht="15" customHeight="1">
      <c r="B92" s="10">
        <f>+B91+1</f>
        <v>3</v>
      </c>
      <c r="C92" s="4"/>
      <c r="D92" s="27" t="str">
        <f ca="1">OFFSET($D$4,$B92,)</f>
        <v>Case 3</v>
      </c>
      <c r="F92" s="75">
        <f>F91</f>
        <v>261.06223294895898</v>
      </c>
      <c r="G92" s="76">
        <f>G91</f>
        <v>306.61976712699698</v>
      </c>
      <c r="H92" s="77">
        <f>H91</f>
        <v>273.35572991999999</v>
      </c>
      <c r="I92" s="78">
        <v>275</v>
      </c>
      <c r="J92" s="78">
        <v>275</v>
      </c>
      <c r="K92" s="78">
        <v>400</v>
      </c>
      <c r="M92" s="12" t="s">
        <v>9</v>
      </c>
    </row>
    <row r="93" spans="2:13" ht="12.75" customHeight="1">
      <c r="F93" s="42"/>
      <c r="H93" s="43"/>
    </row>
    <row r="94" spans="2:13" ht="15" customHeight="1">
      <c r="B94" s="21" t="s">
        <v>30</v>
      </c>
      <c r="C94" s="22"/>
      <c r="D94" s="22"/>
      <c r="E94" s="22"/>
      <c r="F94" s="23"/>
      <c r="G94" s="70">
        <f ca="1">OFFSET(G94,$B$4,)</f>
        <v>0</v>
      </c>
      <c r="H94" s="71">
        <f ca="1">OFFSET(H94,$B$4,)</f>
        <v>0</v>
      </c>
      <c r="I94" s="72">
        <f ca="1">OFFSET(I94,$B$4,)</f>
        <v>0</v>
      </c>
      <c r="J94" s="72">
        <f ca="1">OFFSET(J94,$B$4,)</f>
        <v>450</v>
      </c>
      <c r="K94" s="72">
        <f ca="1">OFFSET(K94,$B$4,)</f>
        <v>0</v>
      </c>
    </row>
    <row r="95" spans="2:13" ht="15" customHeight="1">
      <c r="B95" s="10">
        <f>+B$5</f>
        <v>1</v>
      </c>
      <c r="C95" s="4"/>
      <c r="D95" s="27" t="str">
        <f ca="1">OFFSET($D$4,$B95,)</f>
        <v>Case 1</v>
      </c>
      <c r="F95" s="42"/>
      <c r="G95" s="79">
        <f>-'Ex 1 Income Statement'!B25</f>
        <v>0</v>
      </c>
      <c r="H95" s="80">
        <f>-'Ex 1 Income Statement'!C25</f>
        <v>0</v>
      </c>
      <c r="I95" s="79">
        <f>-'Ex 1 Income Statement'!D25</f>
        <v>0</v>
      </c>
      <c r="J95" s="78">
        <v>450</v>
      </c>
      <c r="K95" s="6">
        <v>0</v>
      </c>
      <c r="M95" s="12" t="s">
        <v>5</v>
      </c>
    </row>
    <row r="96" spans="2:13" ht="15" customHeight="1">
      <c r="B96" s="10">
        <f>+B95+1</f>
        <v>2</v>
      </c>
      <c r="C96" s="4"/>
      <c r="D96" s="27" t="str">
        <f ca="1">OFFSET($D$4,$B96,)</f>
        <v>Case 2</v>
      </c>
      <c r="F96" s="42"/>
      <c r="G96" s="79">
        <f>G95</f>
        <v>0</v>
      </c>
      <c r="H96" s="80">
        <f>H95</f>
        <v>0</v>
      </c>
      <c r="I96" s="79">
        <f>I95</f>
        <v>0</v>
      </c>
      <c r="J96" s="78">
        <v>375</v>
      </c>
      <c r="K96" s="6">
        <v>0</v>
      </c>
      <c r="M96" s="12" t="s">
        <v>7</v>
      </c>
    </row>
    <row r="97" spans="2:13" ht="15" customHeight="1">
      <c r="B97" s="10">
        <f>+B96+1</f>
        <v>3</v>
      </c>
      <c r="C97" s="4"/>
      <c r="D97" s="27" t="str">
        <f ca="1">OFFSET($D$4,$B97,)</f>
        <v>Case 3</v>
      </c>
      <c r="F97" s="42"/>
      <c r="G97" s="79">
        <f>G96</f>
        <v>0</v>
      </c>
      <c r="H97" s="80">
        <f>H96</f>
        <v>0</v>
      </c>
      <c r="I97" s="79">
        <f>I96</f>
        <v>0</v>
      </c>
      <c r="J97" s="78">
        <v>350</v>
      </c>
      <c r="K97" s="6">
        <v>0</v>
      </c>
      <c r="M97" s="12" t="s">
        <v>9</v>
      </c>
    </row>
    <row r="98" spans="2:13" ht="12.75" customHeight="1">
      <c r="F98" s="42"/>
      <c r="H98" s="43"/>
    </row>
    <row r="99" spans="2:13" ht="15" customHeight="1">
      <c r="B99" s="21" t="s">
        <v>31</v>
      </c>
      <c r="C99" s="22"/>
      <c r="D99" s="22"/>
      <c r="E99" s="22"/>
      <c r="F99" s="23"/>
      <c r="G99" s="72">
        <f ca="1">OFFSET(G99,$B$4,)</f>
        <v>472.62409964798297</v>
      </c>
      <c r="H99" s="449">
        <f ca="1">OFFSET(H99,$B$4,)</f>
        <v>415.42227955087202</v>
      </c>
      <c r="I99" s="72">
        <f ca="1">OFFSET(I99,$B$4,)</f>
        <v>415</v>
      </c>
      <c r="J99" s="72">
        <f ca="1">OFFSET(J99,$B$4,)</f>
        <v>415</v>
      </c>
      <c r="K99" s="72">
        <f ca="1">OFFSET(K99,$B$4,)</f>
        <v>415</v>
      </c>
    </row>
    <row r="100" spans="2:13" ht="15" customHeight="1">
      <c r="B100" s="10">
        <f>+B$5</f>
        <v>1</v>
      </c>
      <c r="C100" s="4"/>
      <c r="D100" s="27" t="str">
        <f ca="1">OFFSET($D$4,$B100,)</f>
        <v>Case 1</v>
      </c>
      <c r="F100" s="42"/>
      <c r="G100" s="79">
        <f>'Ex 2 Balance Sheet'!B24</f>
        <v>472.62409964798297</v>
      </c>
      <c r="H100" s="80">
        <f>'Ex 2 Balance Sheet'!C24</f>
        <v>415.42227955087202</v>
      </c>
      <c r="I100" s="81">
        <v>415</v>
      </c>
      <c r="J100" s="81">
        <v>415</v>
      </c>
      <c r="K100" s="81">
        <v>415</v>
      </c>
      <c r="M100" s="12" t="s">
        <v>5</v>
      </c>
    </row>
    <row r="101" spans="2:13" ht="15" customHeight="1">
      <c r="B101" s="10">
        <f>+B100+1</f>
        <v>2</v>
      </c>
      <c r="C101" s="4"/>
      <c r="D101" s="27" t="str">
        <f ca="1">OFFSET($D$4,$B101,)</f>
        <v>Case 2</v>
      </c>
      <c r="F101" s="42"/>
      <c r="G101" s="81">
        <v>472.6</v>
      </c>
      <c r="H101" s="82">
        <v>415.4</v>
      </c>
      <c r="I101" s="81">
        <v>440</v>
      </c>
      <c r="J101" s="81">
        <v>440</v>
      </c>
      <c r="K101" s="81">
        <v>440</v>
      </c>
      <c r="M101" s="12" t="s">
        <v>7</v>
      </c>
    </row>
    <row r="102" spans="2:13" ht="15" customHeight="1">
      <c r="B102" s="10">
        <f>+B101+1</f>
        <v>3</v>
      </c>
      <c r="C102" s="4"/>
      <c r="D102" s="27" t="str">
        <f ca="1">OFFSET($D$4,$B102,)</f>
        <v>Case 3</v>
      </c>
      <c r="F102" s="42"/>
      <c r="G102" s="81">
        <v>472.6</v>
      </c>
      <c r="H102" s="82">
        <v>415.4</v>
      </c>
      <c r="I102" s="81">
        <v>470</v>
      </c>
      <c r="J102" s="81">
        <v>470</v>
      </c>
      <c r="K102" s="81">
        <v>470</v>
      </c>
      <c r="M102" s="12" t="s">
        <v>9</v>
      </c>
    </row>
    <row r="103" spans="2:13" ht="12.75" customHeight="1">
      <c r="F103" s="42"/>
      <c r="H103" s="43"/>
    </row>
    <row r="104" spans="2:13" ht="15" customHeight="1">
      <c r="B104" s="21" t="s">
        <v>32</v>
      </c>
      <c r="C104" s="22"/>
      <c r="D104" s="22"/>
      <c r="E104" s="22"/>
      <c r="F104" s="23"/>
      <c r="G104" s="24"/>
      <c r="H104" s="25"/>
      <c r="I104" s="26"/>
      <c r="J104" s="26"/>
      <c r="K104" s="26"/>
    </row>
    <row r="105" spans="2:13" ht="15" customHeight="1">
      <c r="B105" s="1" t="s">
        <v>33</v>
      </c>
      <c r="F105" s="42"/>
      <c r="G105" s="83"/>
      <c r="H105" s="445">
        <f>'Ex 2 Balance Sheet'!B13</f>
        <v>6563.2839999999997</v>
      </c>
      <c r="I105" s="446">
        <f ca="1">H108</f>
        <v>6836.6397299199998</v>
      </c>
      <c r="J105" s="446">
        <f ca="1">I108</f>
        <v>7086.6397299199998</v>
      </c>
      <c r="K105" s="446">
        <f ca="1">J108</f>
        <v>7786.6397299199998</v>
      </c>
    </row>
    <row r="106" spans="2:13" ht="15" customHeight="1">
      <c r="B106" s="1" t="s">
        <v>34</v>
      </c>
      <c r="F106" s="42"/>
      <c r="G106" s="83"/>
      <c r="H106" s="445">
        <f ca="1">H89</f>
        <v>273.35572991999999</v>
      </c>
      <c r="I106" s="446">
        <f ca="1">I89</f>
        <v>250</v>
      </c>
      <c r="J106" s="446">
        <f ca="1">J89</f>
        <v>700</v>
      </c>
      <c r="K106" s="446">
        <f ca="1">K89</f>
        <v>350</v>
      </c>
    </row>
    <row r="107" spans="2:13" ht="15" customHeight="1">
      <c r="B107" s="1" t="s">
        <v>35</v>
      </c>
      <c r="F107" s="42"/>
      <c r="G107" s="85"/>
      <c r="H107" s="445">
        <f ca="1">H63</f>
        <v>260.33879039999999</v>
      </c>
      <c r="I107" s="446">
        <f ca="1">I63</f>
        <v>258.29766738948115</v>
      </c>
      <c r="J107" s="446">
        <f ca="1">J63</f>
        <v>258.29766738948115</v>
      </c>
      <c r="K107" s="446">
        <f ca="1">K63</f>
        <v>258.29766738948115</v>
      </c>
    </row>
    <row r="108" spans="2:13" ht="15" customHeight="1">
      <c r="B108" s="1" t="s">
        <v>36</v>
      </c>
      <c r="F108" s="42"/>
      <c r="G108" s="84"/>
      <c r="H108" s="445">
        <f ca="1">H105+H106</f>
        <v>6836.6397299199998</v>
      </c>
      <c r="I108" s="446">
        <f ca="1">I105+I106</f>
        <v>7086.6397299199998</v>
      </c>
      <c r="J108" s="446">
        <f ca="1">J105+J106</f>
        <v>7786.6397299199998</v>
      </c>
      <c r="K108" s="446">
        <f ca="1">K105+K106</f>
        <v>8136.6397299199998</v>
      </c>
    </row>
    <row r="109" spans="2:13" ht="12.75" customHeight="1">
      <c r="F109" s="86"/>
      <c r="G109" s="86"/>
      <c r="H109" s="86"/>
    </row>
    <row r="110" spans="2:13" ht="12.75" customHeight="1"/>
    <row r="111" spans="2:13" ht="12.75" customHeight="1"/>
  </sheetData>
  <mergeCells count="2">
    <mergeCell ref="F10:H10"/>
    <mergeCell ref="I10:J1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4"/>
  <sheetViews>
    <sheetView showGridLines="0" topLeftCell="A12" zoomScaleNormal="100" workbookViewId="0">
      <selection activeCell="I10" sqref="I10"/>
    </sheetView>
  </sheetViews>
  <sheetFormatPr defaultColWidth="8.7109375" defaultRowHeight="12.75"/>
  <cols>
    <col min="6" max="6" width="10.85546875" customWidth="1"/>
    <col min="7" max="7" width="10.140625" customWidth="1"/>
    <col min="8" max="8" width="9.85546875" customWidth="1"/>
    <col min="9" max="9" width="10.5703125" customWidth="1"/>
    <col min="10" max="10" width="9.7109375" customWidth="1"/>
    <col min="11" max="11" width="10" customWidth="1"/>
  </cols>
  <sheetData>
    <row r="1" spans="2:23" ht="15" customHeight="1">
      <c r="B1" s="13"/>
      <c r="C1" s="13"/>
      <c r="D1" s="13"/>
      <c r="E1" s="13"/>
      <c r="F1" s="485" t="s">
        <v>10</v>
      </c>
      <c r="G1" s="485"/>
      <c r="H1" s="485"/>
      <c r="I1" s="484" t="s">
        <v>11</v>
      </c>
      <c r="J1" s="484"/>
      <c r="K1" s="1"/>
    </row>
    <row r="2" spans="2:23" ht="15" customHeight="1">
      <c r="B2" s="14" t="s">
        <v>12</v>
      </c>
      <c r="C2" s="14"/>
      <c r="D2" s="14"/>
      <c r="E2" s="14"/>
      <c r="F2" s="87">
        <v>41639</v>
      </c>
      <c r="G2" s="88">
        <f>EOMONTH(F2,12)</f>
        <v>42004</v>
      </c>
      <c r="H2" s="88">
        <f>EOMONTH(G2,12)</f>
        <v>42369</v>
      </c>
      <c r="I2" s="18">
        <f>EOMONTH(H2,12)</f>
        <v>42735</v>
      </c>
      <c r="J2" s="18">
        <f>EOMONTH(I2,12)</f>
        <v>43100</v>
      </c>
      <c r="K2" s="18">
        <f>EOMONTH(J2,12)</f>
        <v>43465</v>
      </c>
      <c r="M2" s="89" t="s">
        <v>37</v>
      </c>
    </row>
    <row r="4" spans="2:23" ht="15" customHeight="1">
      <c r="C4" s="21" t="s">
        <v>38</v>
      </c>
      <c r="D4" s="22"/>
      <c r="E4" s="90">
        <v>0.2</v>
      </c>
      <c r="F4" s="22" t="s">
        <v>39</v>
      </c>
      <c r="G4" s="22"/>
      <c r="H4" s="22"/>
      <c r="I4" s="22"/>
      <c r="J4" s="22"/>
      <c r="K4" s="22"/>
      <c r="M4" s="91" t="s">
        <v>40</v>
      </c>
      <c r="N4" s="91"/>
      <c r="O4" s="91"/>
      <c r="P4" s="91"/>
      <c r="Q4" s="91"/>
      <c r="R4" s="91"/>
      <c r="S4" s="91"/>
      <c r="T4" s="91"/>
      <c r="U4" s="91"/>
      <c r="V4" s="91"/>
      <c r="W4" s="91"/>
    </row>
    <row r="5" spans="2:23" ht="12.75" customHeight="1">
      <c r="C5" s="92"/>
      <c r="D5" s="92"/>
      <c r="E5" s="92" t="s">
        <v>4</v>
      </c>
      <c r="F5" s="93">
        <f>Feeder!F14*'Revenue Build'!$E$4</f>
        <v>1417.7200000000003</v>
      </c>
      <c r="G5" s="93">
        <f>Feeder!G14*'Revenue Build'!$E$4</f>
        <v>1442.48</v>
      </c>
      <c r="H5" s="93">
        <f>Feeder!H14*'Revenue Build'!$E$4</f>
        <v>1301.6939520000001</v>
      </c>
      <c r="I5" s="93">
        <f>H5*(1+I6)</f>
        <v>683.38932480000005</v>
      </c>
      <c r="J5" s="93">
        <f>I5*(1+J6)</f>
        <v>1025.0839872000001</v>
      </c>
      <c r="K5" s="93">
        <f>J5*(1+K6)</f>
        <v>1055.8365068160001</v>
      </c>
    </row>
    <row r="6" spans="2:23" ht="12.75" customHeight="1">
      <c r="C6" s="92" t="s">
        <v>41</v>
      </c>
      <c r="D6" s="92"/>
      <c r="E6" s="92"/>
      <c r="F6" s="94"/>
      <c r="G6" s="94"/>
      <c r="H6" s="94"/>
      <c r="I6" s="95">
        <v>-0.47499999999999998</v>
      </c>
      <c r="J6" s="95">
        <v>0.5</v>
      </c>
      <c r="K6" s="95">
        <v>0.03</v>
      </c>
      <c r="M6" t="s">
        <v>42</v>
      </c>
    </row>
    <row r="7" spans="2:23" ht="12.75" customHeight="1">
      <c r="C7" s="92"/>
      <c r="D7" s="92"/>
      <c r="E7" s="92" t="s">
        <v>6</v>
      </c>
      <c r="F7" s="93">
        <f>Feeder!F15*'Revenue Build'!$E$4</f>
        <v>1417.7200000000003</v>
      </c>
      <c r="G7" s="93">
        <f>Feeder!G16*'Revenue Build'!$E$4</f>
        <v>1442.48</v>
      </c>
      <c r="H7" s="93">
        <f>Feeder!H16*'Revenue Build'!$E$4</f>
        <v>1301.7</v>
      </c>
      <c r="I7" s="93">
        <f>H7*(1+I8)</f>
        <v>715.93500000000006</v>
      </c>
      <c r="J7" s="93">
        <f>I7*(1+J8)</f>
        <v>1002.309</v>
      </c>
      <c r="K7" s="93">
        <f>J7*(1+K8)</f>
        <v>1027.3667249999999</v>
      </c>
    </row>
    <row r="8" spans="2:23" ht="12.75" customHeight="1">
      <c r="C8" s="92" t="s">
        <v>41</v>
      </c>
      <c r="D8" s="92"/>
      <c r="E8" s="92"/>
      <c r="F8" s="93"/>
      <c r="G8" s="93"/>
      <c r="H8" s="93"/>
      <c r="I8" s="95">
        <v>-0.45</v>
      </c>
      <c r="J8" s="95">
        <v>0.4</v>
      </c>
      <c r="K8" s="95">
        <v>2.5000000000000001E-2</v>
      </c>
      <c r="M8" t="s">
        <v>43</v>
      </c>
    </row>
    <row r="9" spans="2:23" ht="12.75" customHeight="1">
      <c r="C9" s="92"/>
      <c r="D9" s="92"/>
      <c r="E9" s="92" t="s">
        <v>8</v>
      </c>
      <c r="F9" s="93">
        <f>Feeder!F16*'Revenue Build'!$E$4</f>
        <v>1417.7200000000003</v>
      </c>
      <c r="G9" s="93">
        <f>Feeder!G16*'Revenue Build'!$E$4</f>
        <v>1442.48</v>
      </c>
      <c r="H9" s="93">
        <f>Feeder!H16*'Revenue Build'!$E$4</f>
        <v>1301.7</v>
      </c>
      <c r="I9" s="93">
        <f>H9*(1+I10)</f>
        <v>650.85</v>
      </c>
      <c r="J9" s="93">
        <f>I9*(1+J10)</f>
        <v>1106.4449999999999</v>
      </c>
      <c r="K9" s="93">
        <f>J9*(1+K10)</f>
        <v>1128.5738999999999</v>
      </c>
    </row>
    <row r="10" spans="2:23" ht="12.75" customHeight="1">
      <c r="C10" s="92" t="s">
        <v>41</v>
      </c>
      <c r="D10" s="92"/>
      <c r="E10" s="92"/>
      <c r="F10" s="93"/>
      <c r="G10" s="93"/>
      <c r="H10" s="93"/>
      <c r="I10" s="95">
        <v>-0.5</v>
      </c>
      <c r="J10" s="95">
        <v>0.7</v>
      </c>
      <c r="K10" s="95">
        <v>0.02</v>
      </c>
      <c r="M10" t="s">
        <v>44</v>
      </c>
    </row>
    <row r="11" spans="2:23" ht="15" customHeight="1">
      <c r="C11" s="21" t="s">
        <v>45</v>
      </c>
      <c r="D11" s="22"/>
      <c r="E11" s="22"/>
      <c r="F11" s="90">
        <v>0.8</v>
      </c>
      <c r="G11" s="96" t="s">
        <v>39</v>
      </c>
      <c r="H11" s="22"/>
      <c r="I11" s="22"/>
      <c r="J11" s="22"/>
      <c r="K11" s="22"/>
      <c r="M11" s="91" t="s">
        <v>46</v>
      </c>
      <c r="N11" s="91"/>
      <c r="O11" s="91"/>
      <c r="P11" s="91"/>
      <c r="Q11" s="91"/>
      <c r="R11" s="91"/>
      <c r="S11" s="91"/>
      <c r="T11" s="91"/>
      <c r="U11" s="91"/>
      <c r="V11" s="91"/>
      <c r="W11" s="91"/>
    </row>
    <row r="12" spans="2:23" ht="12.75" customHeight="1">
      <c r="C12" s="92"/>
      <c r="D12" s="92"/>
      <c r="E12" s="92" t="s">
        <v>4</v>
      </c>
      <c r="F12" s="93">
        <f>Feeder!F14*'Revenue Build'!$F$11</f>
        <v>5670.880000000001</v>
      </c>
      <c r="G12" s="93">
        <f>Feeder!G14*'Revenue Build'!$F$11</f>
        <v>5769.92</v>
      </c>
      <c r="H12" s="93">
        <f>Feeder!H14*'Revenue Build'!$F$11</f>
        <v>5206.7758080000003</v>
      </c>
      <c r="I12" s="93">
        <f>H12*(1+I13)</f>
        <v>5415.0468403200002</v>
      </c>
      <c r="J12" s="93">
        <f>I12*(1+J13)</f>
        <v>5685.7991823360007</v>
      </c>
      <c r="K12" s="93">
        <f>J12*(1+K13)</f>
        <v>5941.6601455411201</v>
      </c>
    </row>
    <row r="13" spans="2:23" ht="12.75" customHeight="1">
      <c r="C13" s="92" t="s">
        <v>41</v>
      </c>
      <c r="D13" s="92"/>
      <c r="E13" s="92"/>
      <c r="F13" s="93"/>
      <c r="G13" s="93"/>
      <c r="H13" s="93"/>
      <c r="I13" s="95">
        <v>0.04</v>
      </c>
      <c r="J13" s="95">
        <v>0.05</v>
      </c>
      <c r="K13" s="95">
        <v>4.4999999999999998E-2</v>
      </c>
      <c r="M13" t="s">
        <v>47</v>
      </c>
    </row>
    <row r="14" spans="2:23" ht="12.75" customHeight="1">
      <c r="C14" s="92"/>
      <c r="D14" s="92"/>
      <c r="E14" s="92" t="s">
        <v>6</v>
      </c>
      <c r="F14" s="93">
        <f>Feeder!F15*'Revenue Build'!$F$11</f>
        <v>5670.880000000001</v>
      </c>
      <c r="G14" s="93">
        <f>Feeder!G15*'Revenue Build'!$F$11</f>
        <v>5769.92</v>
      </c>
      <c r="H14" s="93">
        <f>Feeder!H15*'Revenue Build'!$F$11</f>
        <v>5206.8</v>
      </c>
      <c r="I14" s="93">
        <f>H14*(1+I15)</f>
        <v>5467.14</v>
      </c>
      <c r="J14" s="93">
        <f>I14*(1+J15)</f>
        <v>5904.5112000000008</v>
      </c>
      <c r="K14" s="93">
        <f>J14*(1+K15)</f>
        <v>6494.9623200000015</v>
      </c>
    </row>
    <row r="15" spans="2:23" ht="12.75" customHeight="1">
      <c r="C15" s="92"/>
      <c r="D15" s="92"/>
      <c r="E15" s="92"/>
      <c r="F15" s="93"/>
      <c r="G15" s="93"/>
      <c r="H15" s="93"/>
      <c r="I15" s="95">
        <v>0.05</v>
      </c>
      <c r="J15" s="95">
        <v>0.08</v>
      </c>
      <c r="K15" s="95">
        <v>0.1</v>
      </c>
      <c r="M15" t="s">
        <v>48</v>
      </c>
    </row>
    <row r="16" spans="2:23" ht="12.75" customHeight="1">
      <c r="C16" s="92"/>
      <c r="D16" s="92"/>
      <c r="E16" s="92" t="s">
        <v>8</v>
      </c>
      <c r="F16" s="93">
        <f>Feeder!F16*'Revenue Build'!$F$11</f>
        <v>5670.880000000001</v>
      </c>
      <c r="G16" s="93">
        <f>Feeder!G16*'Revenue Build'!$F$11</f>
        <v>5769.92</v>
      </c>
      <c r="H16" s="93">
        <f>Feeder!H16*'Revenue Build'!$F$11</f>
        <v>5206.8</v>
      </c>
      <c r="I16" s="93">
        <f>H16*(1+I17)</f>
        <v>5206.8</v>
      </c>
      <c r="J16" s="93">
        <f>I16*(1+J17)</f>
        <v>5258.8680000000004</v>
      </c>
      <c r="K16" s="93">
        <f>J16*(1+K17)</f>
        <v>5469.2227200000007</v>
      </c>
    </row>
    <row r="17" spans="3:13" ht="12.75" customHeight="1">
      <c r="C17" s="92"/>
      <c r="D17" s="92"/>
      <c r="E17" s="92" t="s">
        <v>49</v>
      </c>
      <c r="F17" s="93"/>
      <c r="G17" s="93"/>
      <c r="H17" s="93"/>
      <c r="I17" s="95">
        <v>0</v>
      </c>
      <c r="J17" s="95">
        <v>0.01</v>
      </c>
      <c r="K17" s="95">
        <v>0.04</v>
      </c>
      <c r="M17" t="s">
        <v>50</v>
      </c>
    </row>
    <row r="18" spans="3:13" ht="15" customHeight="1">
      <c r="C18" s="21" t="s">
        <v>51</v>
      </c>
      <c r="D18" s="22"/>
      <c r="E18" s="22"/>
      <c r="F18" s="90"/>
      <c r="G18" s="96"/>
      <c r="H18" s="22"/>
      <c r="I18" s="97">
        <f ca="1">OFFSET(I18,Feeder!$B$4,)</f>
        <v>6098.4361651200006</v>
      </c>
      <c r="J18" s="97">
        <f ca="1">OFFSET(J18,Feeder!$B$4,)</f>
        <v>6710.8831695360004</v>
      </c>
      <c r="K18" s="97">
        <f ca="1">OFFSET(K18,Feeder!$B$4,)</f>
        <v>6997.4966523571202</v>
      </c>
    </row>
    <row r="19" spans="3:13" ht="12.75" customHeight="1">
      <c r="C19" s="92"/>
      <c r="D19" s="92"/>
      <c r="E19" s="92" t="s">
        <v>4</v>
      </c>
      <c r="F19" s="93">
        <f>F12+F5</f>
        <v>7088.6000000000013</v>
      </c>
      <c r="G19" s="93">
        <f>G12+G5</f>
        <v>7212.4</v>
      </c>
      <c r="H19" s="93">
        <f>H12+H5</f>
        <v>6508.46976</v>
      </c>
      <c r="I19" s="93">
        <f>I12+I5</f>
        <v>6098.4361651200006</v>
      </c>
      <c r="J19" s="93">
        <f>J12+J5</f>
        <v>6710.8831695360004</v>
      </c>
      <c r="K19" s="93">
        <f>K12+K5</f>
        <v>6997.4966523571202</v>
      </c>
    </row>
    <row r="20" spans="3:13" ht="12.75" customHeight="1">
      <c r="C20" s="92" t="s">
        <v>41</v>
      </c>
      <c r="D20" s="92"/>
      <c r="E20" s="92"/>
      <c r="F20" s="93"/>
      <c r="G20" s="95">
        <f>G19/F19-1</f>
        <v>1.7464661569279949E-2</v>
      </c>
      <c r="H20" s="95">
        <f>H19/G19-1</f>
        <v>-9.7599999999999909E-2</v>
      </c>
      <c r="I20" s="95">
        <f>I19/H19-1</f>
        <v>-6.2999999999999945E-2</v>
      </c>
      <c r="J20" s="95">
        <f>J19/I19-1</f>
        <v>0.10042689434364993</v>
      </c>
      <c r="K20" s="95">
        <f>K19/J19-1</f>
        <v>4.2708757637474504E-2</v>
      </c>
    </row>
    <row r="21" spans="3:13" ht="12.75" customHeight="1">
      <c r="C21" s="92"/>
      <c r="D21" s="92"/>
      <c r="E21" s="92" t="s">
        <v>6</v>
      </c>
      <c r="F21" s="93">
        <f>F14+F7</f>
        <v>7088.6000000000013</v>
      </c>
      <c r="G21" s="93">
        <f>G14+G7</f>
        <v>7212.4</v>
      </c>
      <c r="H21" s="93">
        <f>H14+H7</f>
        <v>6508.5</v>
      </c>
      <c r="I21" s="93">
        <f>I14+I7</f>
        <v>6183.0750000000007</v>
      </c>
      <c r="J21" s="93">
        <f>J14+J7</f>
        <v>6906.820200000001</v>
      </c>
      <c r="K21" s="93">
        <f>K14+K7</f>
        <v>7522.3290450000013</v>
      </c>
    </row>
    <row r="22" spans="3:13" ht="12.75" customHeight="1">
      <c r="C22" s="92" t="s">
        <v>41</v>
      </c>
      <c r="D22" s="92"/>
      <c r="E22" s="92"/>
      <c r="F22" s="93"/>
      <c r="G22" s="95">
        <f>G21/F21-1</f>
        <v>1.7464661569279949E-2</v>
      </c>
      <c r="H22" s="95">
        <f>H21/G21-1</f>
        <v>-9.7595807220897335E-2</v>
      </c>
      <c r="I22" s="95">
        <f>I21/H21-1</f>
        <v>-4.9999999999999933E-2</v>
      </c>
      <c r="J22" s="95">
        <f>J21/I21-1</f>
        <v>0.1170526315789473</v>
      </c>
      <c r="K22" s="95">
        <f>K21/J21-1</f>
        <v>8.9116094986807504E-2</v>
      </c>
    </row>
    <row r="23" spans="3:13" ht="12.75" customHeight="1">
      <c r="C23" s="92"/>
      <c r="D23" s="92"/>
      <c r="E23" s="92" t="s">
        <v>8</v>
      </c>
      <c r="F23" s="93">
        <f>F16+F9</f>
        <v>7088.6000000000013</v>
      </c>
      <c r="G23" s="93">
        <f>G16+G9</f>
        <v>7212.4</v>
      </c>
      <c r="H23" s="93">
        <f>H16+H9</f>
        <v>6508.5</v>
      </c>
      <c r="I23" s="93">
        <f>I16+I9</f>
        <v>5857.6500000000005</v>
      </c>
      <c r="J23" s="93">
        <f>J16+J9</f>
        <v>6365.3130000000001</v>
      </c>
      <c r="K23" s="93">
        <f>K16+K9</f>
        <v>6597.796620000001</v>
      </c>
    </row>
    <row r="24" spans="3:13" ht="12.75" customHeight="1">
      <c r="C24" s="92" t="s">
        <v>41</v>
      </c>
      <c r="D24" s="92"/>
      <c r="E24" s="92"/>
      <c r="F24" s="93"/>
      <c r="G24" s="95">
        <f>G23/F23-1</f>
        <v>1.7464661569279949E-2</v>
      </c>
      <c r="H24" s="95">
        <f>H23/G23-1</f>
        <v>-9.7595807220897335E-2</v>
      </c>
      <c r="I24" s="95">
        <f>I23/H23-1</f>
        <v>-9.9999999999999867E-2</v>
      </c>
      <c r="J24" s="95">
        <f>J23/I23-1</f>
        <v>8.666666666666667E-2</v>
      </c>
      <c r="K24" s="95">
        <f>K23/J23-1</f>
        <v>3.6523517382413218E-2</v>
      </c>
    </row>
  </sheetData>
  <mergeCells count="2">
    <mergeCell ref="F1:H1"/>
    <mergeCell ref="I1:J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opLeftCell="A16" zoomScaleNormal="100" workbookViewId="0">
      <selection activeCell="G6" sqref="G6"/>
    </sheetView>
  </sheetViews>
  <sheetFormatPr defaultColWidth="12.5703125" defaultRowHeight="15"/>
  <cols>
    <col min="1" max="1" width="40.5703125" style="1" customWidth="1"/>
    <col min="2" max="4" width="12.28515625" style="1" customWidth="1"/>
    <col min="5" max="5" width="2.28515625" style="1" customWidth="1"/>
    <col min="6" max="6" width="11.140625" style="1" customWidth="1"/>
    <col min="7" max="7" width="11.28515625" style="1" customWidth="1"/>
    <col min="8" max="8" width="11.85546875" style="1" customWidth="1"/>
    <col min="9" max="26" width="8.5703125" style="1" customWidth="1"/>
    <col min="27" max="16384" width="12.5703125" style="1"/>
  </cols>
  <sheetData>
    <row r="1" spans="1:26" ht="23.25" customHeight="1">
      <c r="A1" s="2" t="s">
        <v>52</v>
      </c>
    </row>
    <row r="2" spans="1:26" ht="12.75" customHeight="1">
      <c r="A2" s="98"/>
      <c r="F2" s="486" t="s">
        <v>53</v>
      </c>
      <c r="G2" s="486"/>
      <c r="H2" s="486"/>
    </row>
    <row r="3" spans="1:26" ht="36" customHeight="1">
      <c r="A3" s="99" t="s">
        <v>54</v>
      </c>
      <c r="B3" s="486" t="s">
        <v>55</v>
      </c>
      <c r="C3" s="486"/>
      <c r="D3" s="486"/>
      <c r="E3" s="6"/>
      <c r="F3" s="486" t="s">
        <v>55</v>
      </c>
      <c r="G3" s="486"/>
      <c r="H3" s="486"/>
    </row>
    <row r="4" spans="1:26" ht="35.25" customHeight="1">
      <c r="A4" s="99" t="s">
        <v>56</v>
      </c>
      <c r="B4" s="99">
        <v>2013</v>
      </c>
      <c r="C4" s="99">
        <v>2014</v>
      </c>
      <c r="D4" s="99">
        <v>2015</v>
      </c>
      <c r="F4" s="100">
        <v>2016</v>
      </c>
      <c r="G4" s="100">
        <v>2017</v>
      </c>
      <c r="H4" s="100">
        <v>2018</v>
      </c>
    </row>
    <row r="5" spans="1:26" ht="15" customHeight="1">
      <c r="A5" s="101" t="s">
        <v>57</v>
      </c>
      <c r="B5" s="102">
        <v>7088.6</v>
      </c>
      <c r="C5" s="102">
        <v>7212.4</v>
      </c>
      <c r="D5" s="103">
        <v>6508.46976</v>
      </c>
      <c r="F5" s="79">
        <f ca="1">Feeder!I13</f>
        <v>6098.4361651200006</v>
      </c>
      <c r="G5" s="79">
        <f ca="1">Feeder!J13</f>
        <v>6710.8831695360004</v>
      </c>
      <c r="H5" s="79">
        <f ca="1">Feeder!K13</f>
        <v>6997.4966523571202</v>
      </c>
      <c r="J5" s="104"/>
      <c r="K5" s="104"/>
      <c r="L5" s="104"/>
      <c r="M5" s="104"/>
    </row>
    <row r="6" spans="1:26" ht="14.25" customHeight="1">
      <c r="A6" s="101" t="s">
        <v>58</v>
      </c>
      <c r="B6" s="105">
        <v>5799.4672039999996</v>
      </c>
      <c r="C6" s="105">
        <v>6015.1415999999999</v>
      </c>
      <c r="D6" s="105">
        <v>5467.1145984000004</v>
      </c>
      <c r="F6" s="79">
        <f ca="1">Feeder!I23</f>
        <v>5000.7176553984</v>
      </c>
      <c r="G6" s="79">
        <f ca="1">Feeder!J23</f>
        <v>5469.36978317184</v>
      </c>
      <c r="H6" s="79">
        <f ca="1">Feeder!K23</f>
        <v>5667.972288409268</v>
      </c>
      <c r="J6" s="106"/>
      <c r="K6" s="106"/>
      <c r="L6" s="104"/>
    </row>
    <row r="7" spans="1:26" ht="15" customHeight="1">
      <c r="A7" s="107" t="s">
        <v>59</v>
      </c>
      <c r="B7" s="108">
        <v>1289.1327960000001</v>
      </c>
      <c r="C7" s="108">
        <v>1197.2583999999999</v>
      </c>
      <c r="D7" s="108">
        <v>1041.3551616</v>
      </c>
      <c r="F7" s="109">
        <f ca="1">F5-F6</f>
        <v>1097.7185097216006</v>
      </c>
      <c r="G7" s="109">
        <f ca="1">G5-G6</f>
        <v>1241.5133863641604</v>
      </c>
      <c r="H7" s="109">
        <f ca="1">H5-H6</f>
        <v>1329.5243639478522</v>
      </c>
      <c r="I7" s="110"/>
      <c r="J7" s="111"/>
      <c r="K7" s="111"/>
      <c r="L7" s="111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spans="1:26" ht="12.75" customHeight="1">
      <c r="A8" s="101" t="s">
        <v>60</v>
      </c>
      <c r="B8" s="112">
        <v>602.59753285063005</v>
      </c>
      <c r="C8" s="112">
        <v>656.32839999999999</v>
      </c>
      <c r="D8" s="112">
        <v>663.86391551999998</v>
      </c>
      <c r="F8" s="113">
        <f ca="1">-Feeder!I33</f>
        <v>-609.84361651200004</v>
      </c>
      <c r="G8" s="113">
        <f ca="1">-Feeder!J33</f>
        <v>-671.08831695360004</v>
      </c>
      <c r="H8" s="113">
        <f ca="1">-Feeder!K33</f>
        <v>-979.64953132999688</v>
      </c>
      <c r="I8" s="114"/>
      <c r="J8" s="106"/>
      <c r="K8" s="106"/>
      <c r="L8" s="104"/>
    </row>
    <row r="9" spans="1:26" ht="12.75" customHeight="1">
      <c r="A9" s="101" t="s">
        <v>61</v>
      </c>
      <c r="B9" s="112">
        <v>120.440189511518</v>
      </c>
      <c r="C9" s="112">
        <v>129.82320000000001</v>
      </c>
      <c r="D9" s="112">
        <v>143.18633471999999</v>
      </c>
      <c r="F9" s="113">
        <f ca="1">-Feeder!I43</f>
        <v>-121.96872330240001</v>
      </c>
      <c r="G9" s="113">
        <f ca="1">-Feeder!J43</f>
        <v>-134.21766339072002</v>
      </c>
      <c r="H9" s="113">
        <f ca="1">-Feeder!K43</f>
        <v>-122.45619141624961</v>
      </c>
      <c r="J9" s="106"/>
      <c r="K9" s="106"/>
      <c r="L9" s="104"/>
    </row>
    <row r="10" spans="1:26" ht="12.75" customHeight="1">
      <c r="A10" s="101" t="s">
        <v>62</v>
      </c>
      <c r="B10" s="112">
        <v>58.295450075981101</v>
      </c>
      <c r="C10" s="112">
        <v>57.699199999999998</v>
      </c>
      <c r="D10" s="112">
        <v>25.1466046810372</v>
      </c>
      <c r="F10" s="113">
        <f ca="1">-Feeder!I53</f>
        <v>-30.492180825600002</v>
      </c>
      <c r="G10" s="113">
        <f ca="1">-Feeder!J53</f>
        <v>-33.554415847680005</v>
      </c>
      <c r="H10" s="113">
        <f ca="1">-Feeder!K53</f>
        <v>-34.987483261785599</v>
      </c>
      <c r="J10" s="104"/>
      <c r="K10" s="104"/>
      <c r="L10" s="104"/>
    </row>
    <row r="11" spans="1:26" ht="12.75" customHeight="1">
      <c r="A11" s="101" t="s">
        <v>63</v>
      </c>
      <c r="B11" s="105">
        <v>-3.8018771788683301</v>
      </c>
      <c r="C11" s="105">
        <v>6.5099738243523797</v>
      </c>
      <c r="D11" s="105">
        <v>-2.24856443599931</v>
      </c>
      <c r="F11" s="79">
        <v>0</v>
      </c>
      <c r="G11" s="79">
        <v>0</v>
      </c>
      <c r="H11" s="79">
        <v>0</v>
      </c>
      <c r="J11" s="104"/>
      <c r="K11" s="104"/>
      <c r="L11" s="104">
        <v>0.25</v>
      </c>
      <c r="M11" s="1" t="s">
        <v>64</v>
      </c>
    </row>
    <row r="12" spans="1:26" ht="18.75" customHeight="1">
      <c r="A12" s="107" t="s">
        <v>65</v>
      </c>
      <c r="B12" s="108">
        <v>511.60150074073903</v>
      </c>
      <c r="C12" s="108">
        <v>346.89762617564799</v>
      </c>
      <c r="D12" s="108">
        <v>211.406871114963</v>
      </c>
      <c r="F12" s="109">
        <f ca="1">SUM(F7:F11)</f>
        <v>335.41398908160056</v>
      </c>
      <c r="G12" s="109">
        <f ca="1">SUM(G7:G11)</f>
        <v>402.65299017216034</v>
      </c>
      <c r="H12" s="109">
        <f ca="1">SUM(H7:H11)</f>
        <v>192.43115793982008</v>
      </c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spans="1:26" ht="12.75" customHeight="1">
      <c r="A13" s="101" t="s">
        <v>66</v>
      </c>
      <c r="B13" s="112"/>
      <c r="C13" s="112"/>
      <c r="D13" s="112"/>
      <c r="F13" s="79">
        <f ca="1">'Ex 3 Cap Table'!C49</f>
        <v>5.6314973488369846</v>
      </c>
      <c r="G13" s="79">
        <f ca="1">'Ex 3 Cap Table'!D49</f>
        <v>4.7176999999999998</v>
      </c>
      <c r="H13" s="79">
        <f ca="1">'Ex 3 Cap Table'!E49</f>
        <v>1.4464854969940748</v>
      </c>
    </row>
    <row r="14" spans="1:26" ht="12.75" customHeight="1">
      <c r="A14" s="101" t="s">
        <v>67</v>
      </c>
      <c r="B14" s="112">
        <v>358.94</v>
      </c>
      <c r="C14" s="112">
        <v>366.149</v>
      </c>
      <c r="D14" s="112">
        <v>365.74400000000003</v>
      </c>
      <c r="F14" s="113">
        <f ca="1">-'Ex 3 Cap Table'!C117</f>
        <v>-367.03243498382392</v>
      </c>
      <c r="G14" s="113">
        <f ca="1">-'Ex 3 Cap Table'!D117</f>
        <v>-372.1497160115216</v>
      </c>
      <c r="H14" s="113">
        <f ca="1">-'Ex 3 Cap Table'!E117</f>
        <v>-385.42450000000002</v>
      </c>
      <c r="I14" s="114"/>
    </row>
    <row r="15" spans="1:26" ht="12.75" customHeight="1">
      <c r="A15" s="101" t="s">
        <v>68</v>
      </c>
      <c r="B15" s="112">
        <v>152.661500740739</v>
      </c>
      <c r="C15" s="112">
        <v>-19.251373824351699</v>
      </c>
      <c r="D15" s="112">
        <v>-154.337128885037</v>
      </c>
      <c r="F15" s="113">
        <f ca="1">SUM(F12:F14)</f>
        <v>-25.986948553386355</v>
      </c>
      <c r="G15" s="113">
        <f ca="1">SUM(G12:G14)</f>
        <v>35.220974160638718</v>
      </c>
      <c r="H15" s="113">
        <f ca="1">SUM(H12:H14)</f>
        <v>-191.54685656318586</v>
      </c>
    </row>
    <row r="16" spans="1:26" ht="12.75" customHeight="1">
      <c r="A16" s="101" t="s">
        <v>69</v>
      </c>
      <c r="B16" s="105">
        <v>38.1653751851848</v>
      </c>
      <c r="C16" s="105">
        <v>-4.8128434560879301</v>
      </c>
      <c r="D16" s="105">
        <v>-38.584282221259301</v>
      </c>
      <c r="F16" s="113">
        <f ca="1">-F15*($L$11)</f>
        <v>6.4967371383465888</v>
      </c>
      <c r="G16" s="113">
        <f ca="1">-G15*($L$11)</f>
        <v>-8.8052435401596796</v>
      </c>
      <c r="H16" s="113">
        <f ca="1">-H15*($L$11)</f>
        <v>47.886714140796464</v>
      </c>
    </row>
    <row r="17" spans="1:26" ht="18.75" customHeight="1">
      <c r="A17" s="107" t="s">
        <v>70</v>
      </c>
      <c r="B17" s="115">
        <v>114.496125555554</v>
      </c>
      <c r="C17" s="115">
        <v>-14.4385303682638</v>
      </c>
      <c r="D17" s="115">
        <v>-115.752846663778</v>
      </c>
      <c r="F17" s="116">
        <f ca="1">SUM(F15:F16)</f>
        <v>-19.490211415039767</v>
      </c>
      <c r="G17" s="116">
        <f ca="1">SUM(G15:G16)</f>
        <v>26.415730620479039</v>
      </c>
      <c r="H17" s="116">
        <f ca="1">SUM(H15:H16)</f>
        <v>-143.66014242238938</v>
      </c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 ht="12.75" customHeight="1">
      <c r="A18" s="101"/>
      <c r="B18" s="117"/>
      <c r="C18" s="117"/>
      <c r="D18" s="117"/>
      <c r="F18" s="113"/>
      <c r="G18" s="113"/>
      <c r="H18" s="113"/>
    </row>
    <row r="19" spans="1:26" ht="12.75" customHeight="1">
      <c r="A19" s="101"/>
      <c r="B19" s="118"/>
      <c r="C19" s="118"/>
      <c r="D19" s="118"/>
      <c r="F19" s="113"/>
      <c r="G19" s="113"/>
      <c r="H19" s="113"/>
    </row>
    <row r="20" spans="1:26" ht="12.75" customHeight="1">
      <c r="A20" s="101" t="s">
        <v>71</v>
      </c>
      <c r="B20" s="117">
        <v>-261.06223294895898</v>
      </c>
      <c r="C20" s="117">
        <v>-306.61976712699698</v>
      </c>
      <c r="D20" s="117">
        <v>-273.35572991999999</v>
      </c>
      <c r="F20" s="113">
        <f ca="1">Feeder!I89</f>
        <v>250</v>
      </c>
      <c r="G20" s="113">
        <f ca="1">Feeder!J89</f>
        <v>700</v>
      </c>
      <c r="H20" s="113">
        <f ca="1">Feeder!K89</f>
        <v>350</v>
      </c>
      <c r="J20" s="104"/>
      <c r="K20" s="104"/>
      <c r="L20" s="104"/>
    </row>
    <row r="21" spans="1:26" ht="12.75" customHeight="1">
      <c r="A21" s="101" t="s">
        <v>72</v>
      </c>
      <c r="B21" s="112">
        <v>273.73515687852</v>
      </c>
      <c r="C21" s="112">
        <v>291.64682733098698</v>
      </c>
      <c r="D21" s="112">
        <v>260.33879039999999</v>
      </c>
      <c r="F21" s="113">
        <f ca="1">Feeder!I63</f>
        <v>258.29766738948115</v>
      </c>
      <c r="G21" s="113">
        <f ca="1">Feeder!J63</f>
        <v>258.29766738948115</v>
      </c>
      <c r="H21" s="113">
        <f ca="1">Feeder!K63</f>
        <v>258.29766738948115</v>
      </c>
      <c r="J21" s="104"/>
      <c r="K21" s="104"/>
      <c r="L21" s="104"/>
    </row>
    <row r="22" spans="1:26" ht="12.75" customHeight="1">
      <c r="A22" s="101"/>
      <c r="B22" s="118"/>
      <c r="C22" s="118"/>
      <c r="D22" s="118"/>
      <c r="E22" s="6"/>
      <c r="F22" s="113"/>
      <c r="G22" s="113"/>
      <c r="H22" s="113"/>
    </row>
    <row r="23" spans="1:26" ht="12.75" customHeight="1">
      <c r="A23" s="6"/>
      <c r="B23" s="6"/>
      <c r="C23" s="6"/>
      <c r="D23" s="6"/>
      <c r="E23" s="6"/>
      <c r="F23" s="113"/>
      <c r="G23" s="113"/>
      <c r="H23" s="113"/>
    </row>
    <row r="24" spans="1:26" ht="12.75" customHeight="1">
      <c r="A24" s="98" t="s">
        <v>73</v>
      </c>
      <c r="B24" s="119">
        <v>839.83023051637201</v>
      </c>
      <c r="C24" s="119">
        <v>702.753627330987</v>
      </c>
      <c r="D24" s="119">
        <v>494.64370176</v>
      </c>
      <c r="E24" s="120"/>
      <c r="F24" s="121">
        <f ca="1">F12+F21</f>
        <v>593.71165647108171</v>
      </c>
      <c r="G24" s="121">
        <f ca="1">G12+G21</f>
        <v>660.95065756164149</v>
      </c>
      <c r="H24" s="121">
        <f ca="1">H12+H21</f>
        <v>450.72882532930123</v>
      </c>
      <c r="J24" s="104"/>
      <c r="K24" s="104"/>
      <c r="L24" s="104"/>
    </row>
    <row r="25" spans="1:26" ht="12.75" customHeight="1">
      <c r="A25" s="6"/>
      <c r="C25" s="6"/>
      <c r="D25" s="122"/>
      <c r="E25" s="6"/>
    </row>
    <row r="26" spans="1:26" ht="12.75" customHeight="1">
      <c r="A26" s="6"/>
      <c r="B26" s="123"/>
      <c r="C26" s="6"/>
      <c r="D26" s="6"/>
      <c r="E26" s="6"/>
    </row>
    <row r="27" spans="1:26" ht="12.75" customHeight="1">
      <c r="A27" s="6"/>
      <c r="B27" s="6"/>
      <c r="C27" s="6"/>
      <c r="D27" s="6"/>
      <c r="E27" s="6"/>
    </row>
    <row r="28" spans="1:26" ht="12.75" customHeight="1">
      <c r="B28" s="119"/>
      <c r="C28" s="119"/>
      <c r="D28" s="119"/>
    </row>
    <row r="29" spans="1:26" ht="12.75" customHeight="1"/>
    <row r="30" spans="1:26" ht="12.75" customHeight="1"/>
    <row r="31" spans="1:26" ht="12.75" customHeight="1">
      <c r="A31" s="124"/>
    </row>
    <row r="32" spans="1:26" ht="12.75" customHeight="1">
      <c r="A32" s="114"/>
    </row>
    <row r="33" spans="1:12" ht="12.75" customHeight="1">
      <c r="B33" s="125"/>
      <c r="C33" s="125"/>
      <c r="D33" s="125"/>
      <c r="L33" s="126"/>
    </row>
    <row r="34" spans="1:12" ht="12.75" customHeight="1">
      <c r="B34" s="127"/>
      <c r="C34" s="127"/>
      <c r="D34" s="127"/>
    </row>
    <row r="35" spans="1:12" ht="12.75" customHeight="1"/>
    <row r="36" spans="1:12" ht="12.75" customHeight="1">
      <c r="B36" s="104"/>
      <c r="C36" s="104"/>
      <c r="D36" s="104"/>
    </row>
    <row r="37" spans="1:12" ht="12.75" customHeight="1"/>
    <row r="38" spans="1:12" ht="12.75" customHeight="1">
      <c r="A38" s="128"/>
    </row>
    <row r="39" spans="1:12" ht="12.75" customHeight="1">
      <c r="B39" s="129"/>
      <c r="C39" s="129"/>
    </row>
    <row r="40" spans="1:12" ht="12.75" customHeight="1">
      <c r="B40" s="129"/>
      <c r="C40" s="130"/>
      <c r="D40" s="130"/>
    </row>
    <row r="41" spans="1:12" ht="12.75" customHeight="1">
      <c r="B41" s="129"/>
      <c r="C41" s="129"/>
      <c r="D41" s="129"/>
    </row>
    <row r="42" spans="1:12" ht="12.75" customHeight="1">
      <c r="B42" s="129"/>
      <c r="C42" s="129"/>
      <c r="D42" s="129"/>
    </row>
    <row r="43" spans="1:12" ht="12.75" customHeight="1"/>
    <row r="44" spans="1:12" ht="12.75" customHeight="1">
      <c r="A44" s="110"/>
      <c r="B44" s="131"/>
      <c r="C44" s="131"/>
      <c r="D44" s="131"/>
    </row>
    <row r="45" spans="1:12" ht="12.75" customHeight="1"/>
    <row r="46" spans="1:12" ht="12.75" customHeight="1"/>
    <row r="47" spans="1:12" ht="12.75" customHeight="1">
      <c r="B47" s="129"/>
      <c r="C47" s="129"/>
      <c r="D47" s="129"/>
      <c r="E47" s="104"/>
    </row>
    <row r="48" spans="1:12" ht="12.75" customHeight="1">
      <c r="B48" s="129"/>
      <c r="C48" s="129"/>
      <c r="D48" s="129"/>
      <c r="E48" s="104"/>
    </row>
    <row r="49" spans="1:5" ht="12.75" customHeight="1">
      <c r="B49" s="129"/>
      <c r="C49" s="129"/>
      <c r="D49" s="129"/>
      <c r="E49" s="50"/>
    </row>
    <row r="50" spans="1:5" ht="12.75" customHeight="1">
      <c r="B50" s="129"/>
      <c r="C50" s="129"/>
      <c r="D50" s="129"/>
      <c r="E50" s="50"/>
    </row>
    <row r="51" spans="1:5" ht="12.75" customHeight="1">
      <c r="B51" s="129"/>
      <c r="C51" s="129"/>
      <c r="D51" s="129"/>
    </row>
    <row r="52" spans="1:5" ht="12.75" customHeight="1">
      <c r="A52" s="110"/>
      <c r="B52" s="132"/>
      <c r="C52" s="132"/>
      <c r="D52" s="132"/>
    </row>
    <row r="53" spans="1:5" ht="12.75" customHeight="1"/>
    <row r="54" spans="1:5" ht="12.75" customHeight="1"/>
    <row r="55" spans="1:5" ht="12.75" customHeight="1"/>
    <row r="56" spans="1:5" ht="12.75" customHeight="1"/>
    <row r="57" spans="1:5" ht="12.75" customHeight="1"/>
    <row r="58" spans="1:5" ht="12.75" customHeight="1"/>
    <row r="59" spans="1:5" ht="12.75" customHeight="1"/>
    <row r="60" spans="1:5" ht="12.75" customHeight="1"/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F2:H2"/>
    <mergeCell ref="B3:D3"/>
    <mergeCell ref="F3:H3"/>
  </mergeCell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00"/>
  <sheetViews>
    <sheetView showGridLines="0" topLeftCell="A19" zoomScaleNormal="100" workbookViewId="0">
      <selection activeCell="G28" sqref="G28"/>
    </sheetView>
  </sheetViews>
  <sheetFormatPr defaultColWidth="12.5703125" defaultRowHeight="12.75" customHeight="1"/>
  <cols>
    <col min="1" max="1" width="44.140625" customWidth="1"/>
    <col min="2" max="2" width="15.85546875" customWidth="1"/>
    <col min="3" max="3" width="14.140625" customWidth="1"/>
    <col min="4" max="4" width="2.28515625" customWidth="1"/>
    <col min="5" max="5" width="10.42578125" customWidth="1"/>
    <col min="6" max="6" width="9.5703125" customWidth="1"/>
    <col min="7" max="7" width="12.28515625" customWidth="1"/>
    <col min="8" max="13" width="8.5703125" customWidth="1"/>
    <col min="14" max="14" width="9.5703125" customWidth="1"/>
    <col min="15" max="15" width="8.5703125" customWidth="1"/>
    <col min="16" max="16" width="9.140625" customWidth="1"/>
    <col min="17" max="25" width="8.5703125" customWidth="1"/>
  </cols>
  <sheetData>
    <row r="1" spans="1:16" ht="24.75" customHeight="1">
      <c r="A1" s="133" t="s">
        <v>74</v>
      </c>
      <c r="G1" s="134"/>
      <c r="H1" s="134"/>
      <c r="P1" s="134"/>
    </row>
    <row r="2" spans="1:16" ht="12.75" customHeight="1">
      <c r="A2" s="135"/>
      <c r="B2" s="136"/>
      <c r="E2" s="486" t="s">
        <v>53</v>
      </c>
      <c r="F2" s="486"/>
      <c r="G2" s="486"/>
      <c r="H2" s="134"/>
      <c r="P2" s="134"/>
    </row>
    <row r="3" spans="1:16" ht="13.5" customHeight="1">
      <c r="A3" s="137" t="s">
        <v>75</v>
      </c>
      <c r="B3" s="486" t="s">
        <v>76</v>
      </c>
      <c r="C3" s="486"/>
      <c r="E3" s="486" t="s">
        <v>76</v>
      </c>
      <c r="F3" s="486"/>
      <c r="G3" s="486"/>
      <c r="H3" s="134"/>
      <c r="I3" s="134"/>
      <c r="M3" s="134"/>
      <c r="P3" s="134"/>
    </row>
    <row r="4" spans="1:16" ht="37.5" customHeight="1">
      <c r="A4" s="137" t="s">
        <v>77</v>
      </c>
      <c r="B4" s="138" t="s">
        <v>78</v>
      </c>
      <c r="C4" s="138" t="s">
        <v>79</v>
      </c>
      <c r="E4" s="100">
        <v>2016</v>
      </c>
      <c r="F4" s="100">
        <v>2017</v>
      </c>
      <c r="G4" s="100">
        <v>2018</v>
      </c>
      <c r="H4" s="139"/>
      <c r="I4" s="139"/>
      <c r="J4" s="139"/>
      <c r="K4" s="139"/>
      <c r="L4" s="139"/>
      <c r="M4" s="140"/>
      <c r="N4" s="140"/>
      <c r="O4" s="140"/>
      <c r="P4" s="139"/>
    </row>
    <row r="5" spans="1:16" ht="14.25" customHeight="1">
      <c r="A5" s="141" t="s">
        <v>80</v>
      </c>
      <c r="B5" s="142"/>
      <c r="C5" s="142"/>
      <c r="D5" s="143"/>
      <c r="E5" s="143"/>
      <c r="F5" s="143"/>
      <c r="G5" s="143"/>
      <c r="P5" s="134"/>
    </row>
    <row r="6" spans="1:16" ht="14.25" customHeight="1">
      <c r="A6" s="421" t="s">
        <v>81</v>
      </c>
      <c r="B6" s="145">
        <v>338.51863886632401</v>
      </c>
      <c r="C6" s="145">
        <v>264.99168816493801</v>
      </c>
      <c r="D6" s="146"/>
      <c r="E6" s="146">
        <f ca="1">'Statement of Cash Flows'!D39</f>
        <v>191</v>
      </c>
      <c r="F6" s="146">
        <f ca="1">'Statement of Cash Flows'!E39</f>
        <v>191</v>
      </c>
      <c r="G6" s="146">
        <f ca="1">'Statement of Cash Flows'!F39</f>
        <v>-73.875668259588565</v>
      </c>
      <c r="H6" s="147"/>
      <c r="I6" s="147"/>
      <c r="P6" s="134"/>
    </row>
    <row r="7" spans="1:16" ht="14.25" customHeight="1">
      <c r="A7" s="421" t="s">
        <v>82</v>
      </c>
      <c r="B7" s="145">
        <v>1003.8379637151399</v>
      </c>
      <c r="C7" s="145">
        <v>935.96494648471196</v>
      </c>
      <c r="D7" s="146"/>
      <c r="E7" s="148">
        <f ca="1">(Feeder!I79*Feeder!I13)/365</f>
        <v>885.52634726400004</v>
      </c>
      <c r="F7" s="148">
        <f ca="1">(Feeder!J79*Feeder!J13)/365</f>
        <v>974.45700817919999</v>
      </c>
      <c r="G7" s="148">
        <f ca="1">(Feeder!K79*Feeder!K13)/365</f>
        <v>1016.074856369664</v>
      </c>
      <c r="H7" s="147"/>
      <c r="I7" s="147"/>
      <c r="J7" s="147"/>
      <c r="K7" s="147"/>
      <c r="L7" s="147"/>
      <c r="M7" s="149"/>
      <c r="N7" s="147"/>
      <c r="O7" s="147"/>
      <c r="P7" s="150"/>
    </row>
    <row r="8" spans="1:16" ht="14.25" customHeight="1">
      <c r="A8" s="421" t="s">
        <v>83</v>
      </c>
      <c r="B8" s="145">
        <v>1133.3864428197501</v>
      </c>
      <c r="C8" s="145">
        <v>1138.33574572465</v>
      </c>
      <c r="D8" s="146"/>
      <c r="E8" s="148">
        <f ca="1">(Feeder!I74*Feeder!I23)/365</f>
        <v>1096.0477052927999</v>
      </c>
      <c r="F8" s="148">
        <f ca="1">(Feeder!J74*Feeder!J23)/365</f>
        <v>1198.76597987328</v>
      </c>
      <c r="G8" s="148">
        <f ca="1">(Feeder!K74*Feeder!K23)/365</f>
        <v>1242.2952960897026</v>
      </c>
      <c r="H8" s="147"/>
      <c r="I8" s="147"/>
      <c r="M8" s="149"/>
      <c r="N8" s="147"/>
      <c r="O8" s="147"/>
      <c r="P8" s="150"/>
    </row>
    <row r="9" spans="1:16" ht="14.25" customHeight="1">
      <c r="A9" s="421" t="s">
        <v>84</v>
      </c>
      <c r="B9" s="145">
        <v>34.502861269067601</v>
      </c>
      <c r="C9" s="145">
        <v>34.852748757989303</v>
      </c>
      <c r="D9" s="145"/>
      <c r="E9" s="151">
        <v>34.852748757989303</v>
      </c>
      <c r="F9" s="151">
        <v>34.852748757989303</v>
      </c>
      <c r="G9" s="151">
        <v>34.852748757989303</v>
      </c>
      <c r="H9" s="147"/>
      <c r="I9" s="147"/>
      <c r="P9" s="134"/>
    </row>
    <row r="10" spans="1:16" ht="14.25" customHeight="1">
      <c r="A10" s="421" t="s">
        <v>85</v>
      </c>
      <c r="B10" s="145">
        <v>144.24799999999999</v>
      </c>
      <c r="C10" s="145">
        <v>156.20327424000001</v>
      </c>
      <c r="D10" s="152"/>
      <c r="E10" s="153">
        <v>156.20327424000001</v>
      </c>
      <c r="F10" s="153">
        <v>156.20327424000001</v>
      </c>
      <c r="G10" s="153">
        <v>156.20327424000001</v>
      </c>
      <c r="H10" s="147"/>
      <c r="I10" s="147"/>
      <c r="P10" s="134"/>
    </row>
    <row r="11" spans="1:16" ht="14.25" customHeight="1">
      <c r="A11" s="418" t="s">
        <v>86</v>
      </c>
      <c r="B11" s="423">
        <v>2654.49390667028</v>
      </c>
      <c r="C11" s="426">
        <v>2530.3484033722898</v>
      </c>
      <c r="D11" s="158"/>
      <c r="E11" s="427">
        <f ca="1">SUM(E6:E10)</f>
        <v>2363.6300755547895</v>
      </c>
      <c r="F11" s="427">
        <f ca="1">SUM(F6:F10)</f>
        <v>2555.2790110504698</v>
      </c>
      <c r="G11" s="427">
        <f ca="1">SUM(G6:G10)</f>
        <v>2375.5505071977677</v>
      </c>
      <c r="H11" s="147"/>
      <c r="I11" s="147"/>
      <c r="P11" s="134"/>
    </row>
    <row r="12" spans="1:16" ht="14.25" customHeight="1">
      <c r="A12" s="144"/>
      <c r="B12" s="154"/>
      <c r="C12" s="145"/>
      <c r="D12" s="146"/>
      <c r="E12" s="148"/>
      <c r="F12" s="148"/>
      <c r="G12" s="148"/>
      <c r="H12" s="147"/>
      <c r="I12" s="147"/>
      <c r="P12" s="134"/>
    </row>
    <row r="13" spans="1:16" ht="14.25" customHeight="1">
      <c r="A13" s="144" t="s">
        <v>87</v>
      </c>
      <c r="B13" s="145">
        <v>6563.2839999999997</v>
      </c>
      <c r="C13" s="154">
        <v>6836.6397299199998</v>
      </c>
      <c r="D13" s="146"/>
      <c r="E13" s="148">
        <f ca="1">Feeder!I108</f>
        <v>7086.6397299199998</v>
      </c>
      <c r="F13" s="148">
        <f ca="1">Feeder!J108</f>
        <v>7786.6397299199998</v>
      </c>
      <c r="G13" s="148">
        <f ca="1">Feeder!K108</f>
        <v>8136.6397299199998</v>
      </c>
      <c r="H13" s="155"/>
      <c r="I13" s="147"/>
      <c r="P13" s="134"/>
    </row>
    <row r="14" spans="1:16" ht="14.25" customHeight="1">
      <c r="A14" s="144" t="s">
        <v>88</v>
      </c>
      <c r="B14" s="145">
        <v>-2777.80583085116</v>
      </c>
      <c r="C14" s="154">
        <v>-3038.1446212511601</v>
      </c>
      <c r="D14" s="146"/>
      <c r="E14" s="148">
        <f ca="1">C14-'Ex 1 Income Statement'!F21</f>
        <v>-3296.442288640641</v>
      </c>
      <c r="F14" s="148">
        <f ca="1">E14-'Ex 1 Income Statement'!G21</f>
        <v>-3554.7399560301219</v>
      </c>
      <c r="G14" s="148">
        <f ca="1">F14-'Ex 1 Income Statement'!H21</f>
        <v>-3813.0376234196028</v>
      </c>
      <c r="H14" s="147"/>
      <c r="I14" s="147"/>
      <c r="P14" s="134"/>
    </row>
    <row r="15" spans="1:16" ht="14.25" customHeight="1">
      <c r="A15" s="144" t="s">
        <v>89</v>
      </c>
      <c r="B15" s="154">
        <v>3785.4781691488402</v>
      </c>
      <c r="C15" s="154">
        <v>3798.4951086688402</v>
      </c>
      <c r="D15" s="146"/>
      <c r="E15" s="148">
        <f ca="1">E13+E14</f>
        <v>3790.1974412793588</v>
      </c>
      <c r="F15" s="148">
        <f ca="1">F13+F14</f>
        <v>4231.8997738898779</v>
      </c>
      <c r="G15" s="148">
        <f ca="1">G13+G14</f>
        <v>4323.602106500397</v>
      </c>
      <c r="H15" s="147"/>
      <c r="I15" s="147"/>
      <c r="P15" s="134"/>
    </row>
    <row r="16" spans="1:16" ht="14.25" customHeight="1">
      <c r="A16" s="144" t="s">
        <v>90</v>
      </c>
      <c r="B16" s="145">
        <v>85.280657099016196</v>
      </c>
      <c r="C16" s="145">
        <v>68.5812152979789</v>
      </c>
      <c r="D16" s="145"/>
      <c r="E16" s="151">
        <f ca="1">C16-Feeder!I53</f>
        <v>38.089034472378898</v>
      </c>
      <c r="F16" s="151">
        <f ca="1">E16-Feeder!J53</f>
        <v>4.5346186246988935</v>
      </c>
      <c r="G16" s="151">
        <f ca="1">F16-Feeder!K53</f>
        <v>-30.452864637086705</v>
      </c>
      <c r="H16" s="147"/>
      <c r="I16" s="147"/>
      <c r="P16" s="134"/>
    </row>
    <row r="17" spans="1:16" ht="14.25" customHeight="1">
      <c r="A17" s="144" t="s">
        <v>91</v>
      </c>
      <c r="B17" s="145">
        <v>86.5488</v>
      </c>
      <c r="C17" s="145">
        <v>78.101637120000007</v>
      </c>
      <c r="D17" s="146"/>
      <c r="E17" s="151">
        <v>78.101637120000007</v>
      </c>
      <c r="F17" s="151">
        <v>78.101637120000007</v>
      </c>
      <c r="G17" s="151">
        <v>78.101637120000007</v>
      </c>
      <c r="H17" s="155"/>
      <c r="I17" s="147"/>
      <c r="P17" s="134"/>
    </row>
    <row r="18" spans="1:16" ht="14.25" customHeight="1">
      <c r="A18" s="144" t="s">
        <v>92</v>
      </c>
      <c r="B18" s="145">
        <v>298.80779853777398</v>
      </c>
      <c r="C18" s="145">
        <v>302.43191664190698</v>
      </c>
      <c r="D18" s="146"/>
      <c r="E18" s="151">
        <v>302.43191664190698</v>
      </c>
      <c r="F18" s="151">
        <v>302.43191664190698</v>
      </c>
      <c r="G18" s="151">
        <v>302.43191664190698</v>
      </c>
      <c r="H18" s="147"/>
      <c r="I18" s="147"/>
      <c r="P18" s="134"/>
    </row>
    <row r="19" spans="1:16" s="89" customFormat="1" ht="14.25" customHeight="1">
      <c r="A19" s="418" t="s">
        <v>93</v>
      </c>
      <c r="B19" s="423">
        <v>6910.6093314559103</v>
      </c>
      <c r="C19" s="423">
        <v>6777.9582811010196</v>
      </c>
      <c r="D19" s="424"/>
      <c r="E19" s="424">
        <f ca="1">SUM(E15:E18)+E11</f>
        <v>6572.4501050684339</v>
      </c>
      <c r="F19" s="424">
        <f ca="1">SUM(F15:F18)+F11</f>
        <v>7172.2469573269536</v>
      </c>
      <c r="G19" s="424">
        <f ca="1">SUM(G15:G18)+G11</f>
        <v>7049.2333028229859</v>
      </c>
      <c r="H19" s="425"/>
      <c r="I19" s="425"/>
      <c r="P19" s="134"/>
    </row>
    <row r="20" spans="1:16" ht="14.25" customHeight="1">
      <c r="A20" s="144"/>
      <c r="B20" s="154"/>
      <c r="C20" s="154"/>
      <c r="D20" s="146"/>
      <c r="E20" s="146"/>
      <c r="F20" s="146"/>
      <c r="G20" s="146"/>
      <c r="H20" s="147"/>
      <c r="I20" s="147"/>
      <c r="P20" s="134"/>
    </row>
    <row r="21" spans="1:16" ht="14.25" customHeight="1">
      <c r="A21" s="141" t="s">
        <v>94</v>
      </c>
      <c r="B21" s="154"/>
      <c r="C21" s="154"/>
      <c r="D21" s="146"/>
      <c r="E21" s="146"/>
      <c r="F21" s="146"/>
      <c r="G21" s="146"/>
      <c r="P21" s="134"/>
    </row>
    <row r="22" spans="1:16" ht="14.25" customHeight="1">
      <c r="A22" s="421" t="s">
        <v>95</v>
      </c>
      <c r="B22" s="154">
        <v>9</v>
      </c>
      <c r="C22" s="154">
        <v>9</v>
      </c>
      <c r="D22" s="146"/>
      <c r="E22" s="154">
        <v>9</v>
      </c>
      <c r="F22" s="154">
        <v>9</v>
      </c>
      <c r="G22" s="154">
        <v>9</v>
      </c>
      <c r="P22" s="134"/>
    </row>
    <row r="23" spans="1:16" ht="14.25" customHeight="1">
      <c r="A23" s="421" t="s">
        <v>96</v>
      </c>
      <c r="B23" s="145">
        <v>694.61420705839896</v>
      </c>
      <c r="C23" s="145">
        <v>684.68787076179001</v>
      </c>
      <c r="D23" s="146"/>
      <c r="E23" s="146">
        <f ca="1">(Feeder!I84*Feeder!I23)/365</f>
        <v>630.22743054336001</v>
      </c>
      <c r="F23" s="146">
        <f ca="1">(Feeder!J84*Feeder!J23)/365</f>
        <v>689.290438427136</v>
      </c>
      <c r="G23" s="146">
        <f ca="1">(Feeder!K84*Feeder!K23)/365</f>
        <v>714.31979525157897</v>
      </c>
      <c r="H23" s="147"/>
      <c r="P23" s="134"/>
    </row>
    <row r="24" spans="1:16" ht="14.25" customHeight="1">
      <c r="A24" s="421" t="s">
        <v>97</v>
      </c>
      <c r="B24" s="152">
        <v>472.62409964798297</v>
      </c>
      <c r="C24" s="145">
        <v>415.42227955087202</v>
      </c>
      <c r="D24" s="146"/>
      <c r="E24" s="156">
        <f ca="1">Feeder!I99</f>
        <v>415</v>
      </c>
      <c r="F24" s="156">
        <f ca="1">Feeder!J99</f>
        <v>415</v>
      </c>
      <c r="G24" s="156">
        <f ca="1">Feeder!K99</f>
        <v>415</v>
      </c>
      <c r="H24" s="147"/>
      <c r="P24" s="134"/>
    </row>
    <row r="25" spans="1:16" s="89" customFormat="1" ht="14.25" customHeight="1">
      <c r="A25" s="418" t="s">
        <v>98</v>
      </c>
      <c r="B25" s="157">
        <v>1176.2383067063799</v>
      </c>
      <c r="C25" s="423">
        <v>1109.1101503126599</v>
      </c>
      <c r="D25" s="424"/>
      <c r="E25" s="158">
        <f ca="1">SUM(E22:E24)</f>
        <v>1054.22743054336</v>
      </c>
      <c r="F25" s="158">
        <f ca="1">SUM(F22:F24)</f>
        <v>1113.290438427136</v>
      </c>
      <c r="G25" s="158">
        <f ca="1">SUM(G22:G24)</f>
        <v>1138.3197952515789</v>
      </c>
      <c r="H25" s="422"/>
      <c r="P25" s="134"/>
    </row>
    <row r="26" spans="1:16" ht="14.25" customHeight="1">
      <c r="A26" s="144"/>
      <c r="B26" s="154"/>
      <c r="C26" s="154"/>
      <c r="D26" s="146"/>
      <c r="E26" s="146"/>
      <c r="F26" s="146"/>
      <c r="G26" s="146"/>
      <c r="P26" s="134"/>
    </row>
    <row r="27" spans="1:16" ht="14.25" customHeight="1">
      <c r="A27" s="421" t="s">
        <v>99</v>
      </c>
      <c r="B27" s="154">
        <v>4583.2</v>
      </c>
      <c r="C27" s="154">
        <v>4574.2</v>
      </c>
      <c r="D27" s="146"/>
      <c r="E27" s="146">
        <f ca="1">C27-E22+'Pro-Forma Cap Table'!C72</f>
        <v>4443.0647551517586</v>
      </c>
      <c r="F27" s="146">
        <f ca="1">E27-F22+'Pro-Forma Cap Table'!D72</f>
        <v>4957.3828689060228</v>
      </c>
      <c r="G27" s="146">
        <f ca="1">F27-G22+'Pro-Forma Cap Table'!E72</f>
        <v>4953.0000000000009</v>
      </c>
      <c r="P27" s="134"/>
    </row>
    <row r="28" spans="1:16" ht="14.25" customHeight="1">
      <c r="A28" s="421" t="s">
        <v>100</v>
      </c>
      <c r="B28" s="145">
        <v>562.56719999999996</v>
      </c>
      <c r="C28" s="145">
        <v>585.76227840000001</v>
      </c>
      <c r="D28" s="146"/>
      <c r="E28" s="145">
        <v>585.76227840000001</v>
      </c>
      <c r="F28" s="145">
        <v>585.76227840000001</v>
      </c>
      <c r="G28" s="145">
        <v>585.76227840000001</v>
      </c>
      <c r="H28" s="155"/>
      <c r="P28" s="134"/>
    </row>
    <row r="29" spans="1:16" ht="14.25" customHeight="1">
      <c r="A29" s="421" t="s">
        <v>84</v>
      </c>
      <c r="B29" s="145">
        <v>129.82320000000001</v>
      </c>
      <c r="C29" s="145">
        <v>130.1693952</v>
      </c>
      <c r="D29" s="146"/>
      <c r="E29" s="145">
        <v>130.1693952</v>
      </c>
      <c r="F29" s="145">
        <v>130.1693952</v>
      </c>
      <c r="G29" s="145">
        <v>130.1693952</v>
      </c>
      <c r="H29" s="155"/>
      <c r="P29" s="134"/>
    </row>
    <row r="30" spans="1:16" ht="14.25" customHeight="1">
      <c r="A30" s="141" t="s">
        <v>101</v>
      </c>
      <c r="B30" s="157">
        <v>6451.8287067063802</v>
      </c>
      <c r="C30" s="157">
        <v>6399.24182391266</v>
      </c>
      <c r="D30" s="158"/>
      <c r="E30" s="158">
        <f ca="1">E25+SUM(E28:E29)</f>
        <v>1770.1591041433601</v>
      </c>
      <c r="F30" s="158">
        <f ca="1">F25+SUM(F28:F29)</f>
        <v>1829.2221120271361</v>
      </c>
      <c r="G30" s="158">
        <f ca="1">G25+SUM(G28:G29)</f>
        <v>1854.2514688515789</v>
      </c>
      <c r="P30" s="134"/>
    </row>
    <row r="31" spans="1:16" ht="14.25" customHeight="1">
      <c r="A31" s="421" t="s">
        <v>102</v>
      </c>
      <c r="B31" s="154">
        <v>1054.31132089739</v>
      </c>
      <c r="C31" s="154">
        <v>1090</v>
      </c>
      <c r="D31" s="159"/>
      <c r="E31" s="154">
        <v>1090</v>
      </c>
      <c r="F31" s="154">
        <v>1090</v>
      </c>
      <c r="G31" s="154">
        <v>1090</v>
      </c>
      <c r="P31" s="134"/>
    </row>
    <row r="32" spans="1:16" ht="14.25" customHeight="1">
      <c r="A32" s="421" t="s">
        <v>103</v>
      </c>
      <c r="B32" s="145">
        <v>-595.53069614786705</v>
      </c>
      <c r="C32" s="154">
        <v>-711.28354281164502</v>
      </c>
      <c r="D32" s="146"/>
      <c r="E32" s="146">
        <f ca="1">C32+'Ex 1 Income Statement'!F17</f>
        <v>-730.77375422668479</v>
      </c>
      <c r="F32" s="146">
        <f ca="1">E32+'Ex 1 Income Statement'!G17</f>
        <v>-704.35802360620573</v>
      </c>
      <c r="G32" s="146">
        <f ca="1">F32+'Ex 1 Income Statement'!H17</f>
        <v>-848.01816602859515</v>
      </c>
      <c r="H32" s="147"/>
      <c r="P32" s="134"/>
    </row>
    <row r="33" spans="1:16" s="89" customFormat="1" ht="14.25" customHeight="1">
      <c r="A33" s="141" t="s">
        <v>104</v>
      </c>
      <c r="B33" s="419">
        <v>458.78062474952702</v>
      </c>
      <c r="C33" s="157">
        <v>378.71645718835498</v>
      </c>
      <c r="D33" s="158"/>
      <c r="E33" s="158">
        <f ca="1">SUM(E31:E32)</f>
        <v>359.22624577331521</v>
      </c>
      <c r="F33" s="420">
        <f ca="1">SUM(F31:F32)</f>
        <v>385.64197639379427</v>
      </c>
      <c r="G33" s="420">
        <f ca="1">SUM(G31:G32)</f>
        <v>241.98183397140485</v>
      </c>
      <c r="P33" s="134"/>
    </row>
    <row r="34" spans="1:16" s="89" customFormat="1" ht="14.25" customHeight="1">
      <c r="A34" s="418" t="s">
        <v>93</v>
      </c>
      <c r="B34" s="157">
        <v>6910.6093314559103</v>
      </c>
      <c r="C34" s="423">
        <v>6777.9582811010196</v>
      </c>
      <c r="D34" s="424"/>
      <c r="E34" s="424">
        <f ca="1">E30+E33+E27</f>
        <v>6572.4501050684339</v>
      </c>
      <c r="F34" s="158">
        <f ca="1">F30+F33+F27</f>
        <v>7172.2469573269536</v>
      </c>
      <c r="G34" s="158">
        <f ca="1">G30+G33+G27</f>
        <v>7049.2333028229841</v>
      </c>
      <c r="P34" s="134"/>
    </row>
    <row r="35" spans="1:16" ht="12.75" customHeight="1">
      <c r="A35" s="143"/>
      <c r="B35" s="146"/>
      <c r="C35" s="146"/>
      <c r="D35" s="146"/>
      <c r="E35" s="146"/>
      <c r="F35" s="146"/>
      <c r="G35" s="146"/>
      <c r="P35" s="134"/>
    </row>
    <row r="36" spans="1:16" ht="12.75" customHeight="1">
      <c r="A36" s="143" t="s">
        <v>105</v>
      </c>
      <c r="B36" s="146">
        <f>B34-B19</f>
        <v>0</v>
      </c>
      <c r="C36" s="146">
        <f>C34-C19</f>
        <v>0</v>
      </c>
      <c r="D36" s="146"/>
      <c r="E36" s="146">
        <f ca="1">E34-E19</f>
        <v>0</v>
      </c>
      <c r="F36" s="146">
        <f ca="1">F34-F19</f>
        <v>0</v>
      </c>
      <c r="G36" s="146">
        <f ca="1">G34-G19</f>
        <v>0</v>
      </c>
      <c r="P36" s="134"/>
    </row>
    <row r="37" spans="1:16" ht="12.75" customHeight="1">
      <c r="P37" s="134"/>
    </row>
    <row r="38" spans="1:16" ht="12.75" customHeight="1">
      <c r="P38" s="134"/>
    </row>
    <row r="39" spans="1:16" ht="12.75" customHeight="1">
      <c r="A39" s="160"/>
      <c r="P39" s="134"/>
    </row>
    <row r="40" spans="1:16" ht="12.75" customHeight="1">
      <c r="P40" s="134"/>
    </row>
    <row r="41" spans="1:16" ht="12.75" customHeight="1">
      <c r="P41" s="134"/>
    </row>
    <row r="42" spans="1:16" ht="12.75" customHeight="1">
      <c r="P42" s="134"/>
    </row>
    <row r="43" spans="1:16" ht="12.75" customHeight="1">
      <c r="P43" s="134"/>
    </row>
    <row r="44" spans="1:16" ht="12.75" customHeight="1">
      <c r="P44" s="134"/>
    </row>
    <row r="45" spans="1:16" ht="12.75" customHeight="1">
      <c r="P45" s="134"/>
    </row>
    <row r="46" spans="1:16" ht="12.75" customHeight="1">
      <c r="P46" s="134"/>
    </row>
    <row r="47" spans="1:16" ht="12.75" customHeight="1">
      <c r="P47" s="134"/>
    </row>
    <row r="48" spans="1:16" ht="12.75" customHeight="1">
      <c r="P48" s="134"/>
    </row>
    <row r="49" spans="16:16" ht="12.75" customHeight="1">
      <c r="P49" s="134"/>
    </row>
    <row r="50" spans="16:16" ht="12.75" customHeight="1">
      <c r="P50" s="134"/>
    </row>
    <row r="51" spans="16:16" ht="12.75" customHeight="1">
      <c r="P51" s="134"/>
    </row>
    <row r="52" spans="16:16" ht="12.75" customHeight="1">
      <c r="P52" s="134"/>
    </row>
    <row r="53" spans="16:16" ht="12.75" customHeight="1">
      <c r="P53" s="134"/>
    </row>
    <row r="54" spans="16:16" ht="12.75" customHeight="1">
      <c r="P54" s="134"/>
    </row>
    <row r="55" spans="16:16" ht="12.75" customHeight="1">
      <c r="P55" s="134"/>
    </row>
    <row r="56" spans="16:16" ht="12.75" customHeight="1">
      <c r="P56" s="134"/>
    </row>
    <row r="57" spans="16:16" ht="12.75" customHeight="1">
      <c r="P57" s="134"/>
    </row>
    <row r="58" spans="16:16" ht="12.75" customHeight="1">
      <c r="P58" s="134"/>
    </row>
    <row r="59" spans="16:16" ht="12.75" customHeight="1">
      <c r="P59" s="134"/>
    </row>
    <row r="60" spans="16:16" ht="12.75" customHeight="1">
      <c r="P60" s="134"/>
    </row>
    <row r="61" spans="16:16" ht="12.75" customHeight="1">
      <c r="P61" s="134"/>
    </row>
    <row r="62" spans="16:16" ht="12.75" customHeight="1">
      <c r="P62" s="134"/>
    </row>
    <row r="63" spans="16:16" ht="12.75" customHeight="1">
      <c r="P63" s="134"/>
    </row>
    <row r="64" spans="16:16" ht="12.75" customHeight="1">
      <c r="P64" s="134"/>
    </row>
    <row r="65" spans="16:16" ht="12.75" customHeight="1">
      <c r="P65" s="134"/>
    </row>
    <row r="66" spans="16:16" ht="12.75" customHeight="1">
      <c r="P66" s="134"/>
    </row>
    <row r="67" spans="16:16" ht="12.75" customHeight="1">
      <c r="P67" s="134"/>
    </row>
    <row r="68" spans="16:16" ht="12.75" customHeight="1">
      <c r="P68" s="134"/>
    </row>
    <row r="69" spans="16:16" ht="12.75" customHeight="1">
      <c r="P69" s="134"/>
    </row>
    <row r="70" spans="16:16" ht="12.75" customHeight="1">
      <c r="P70" s="134"/>
    </row>
    <row r="71" spans="16:16" ht="12.75" customHeight="1">
      <c r="P71" s="134"/>
    </row>
    <row r="72" spans="16:16" ht="12.75" customHeight="1">
      <c r="P72" s="134"/>
    </row>
    <row r="73" spans="16:16" ht="12.75" customHeight="1">
      <c r="P73" s="134"/>
    </row>
    <row r="74" spans="16:16" ht="12.75" customHeight="1">
      <c r="P74" s="134"/>
    </row>
    <row r="75" spans="16:16" ht="12.75" customHeight="1">
      <c r="P75" s="134"/>
    </row>
    <row r="76" spans="16:16" ht="12.75" customHeight="1">
      <c r="P76" s="134"/>
    </row>
    <row r="77" spans="16:16" ht="12.75" customHeight="1">
      <c r="P77" s="134"/>
    </row>
    <row r="78" spans="16:16" ht="12.75" customHeight="1">
      <c r="P78" s="134"/>
    </row>
    <row r="79" spans="16:16" ht="12.75" customHeight="1">
      <c r="P79" s="134"/>
    </row>
    <row r="80" spans="16:16" ht="12.75" customHeight="1">
      <c r="P80" s="134"/>
    </row>
    <row r="81" spans="16:16" ht="12.75" customHeight="1">
      <c r="P81" s="134"/>
    </row>
    <row r="82" spans="16:16" ht="12.75" customHeight="1">
      <c r="P82" s="134"/>
    </row>
    <row r="83" spans="16:16" ht="12.75" customHeight="1">
      <c r="P83" s="134"/>
    </row>
    <row r="84" spans="16:16" ht="12.75" customHeight="1">
      <c r="P84" s="134"/>
    </row>
    <row r="85" spans="16:16" ht="12.75" customHeight="1">
      <c r="P85" s="134"/>
    </row>
    <row r="86" spans="16:16" ht="12.75" customHeight="1">
      <c r="P86" s="134"/>
    </row>
    <row r="87" spans="16:16" ht="12.75" customHeight="1">
      <c r="P87" s="134"/>
    </row>
    <row r="88" spans="16:16" ht="12.75" customHeight="1">
      <c r="P88" s="134"/>
    </row>
    <row r="89" spans="16:16" ht="12.75" customHeight="1">
      <c r="P89" s="134"/>
    </row>
    <row r="90" spans="16:16" ht="12.75" customHeight="1">
      <c r="P90" s="134"/>
    </row>
    <row r="91" spans="16:16" ht="12.75" customHeight="1">
      <c r="P91" s="134"/>
    </row>
    <row r="92" spans="16:16" ht="12.75" customHeight="1">
      <c r="P92" s="134"/>
    </row>
    <row r="93" spans="16:16" ht="12.75" customHeight="1">
      <c r="P93" s="134"/>
    </row>
    <row r="94" spans="16:16" ht="12.75" customHeight="1">
      <c r="P94" s="134"/>
    </row>
    <row r="95" spans="16:16" ht="12.75" customHeight="1">
      <c r="P95" s="134"/>
    </row>
    <row r="96" spans="16:16" ht="12.75" customHeight="1">
      <c r="P96" s="134"/>
    </row>
    <row r="97" spans="16:16" ht="12.75" customHeight="1">
      <c r="P97" s="134"/>
    </row>
    <row r="98" spans="16:16" ht="12.75" customHeight="1">
      <c r="P98" s="134"/>
    </row>
    <row r="99" spans="16:16" ht="12.75" customHeight="1">
      <c r="P99" s="134"/>
    </row>
    <row r="100" spans="16:16" ht="12.75" customHeight="1">
      <c r="P100" s="134"/>
    </row>
    <row r="101" spans="16:16" ht="12.75" customHeight="1">
      <c r="P101" s="134"/>
    </row>
    <row r="102" spans="16:16" ht="12.75" customHeight="1">
      <c r="P102" s="134"/>
    </row>
    <row r="103" spans="16:16" ht="12.75" customHeight="1">
      <c r="P103" s="134"/>
    </row>
    <row r="104" spans="16:16" ht="12.75" customHeight="1">
      <c r="P104" s="134"/>
    </row>
    <row r="105" spans="16:16" ht="12.75" customHeight="1">
      <c r="P105" s="134"/>
    </row>
    <row r="106" spans="16:16" ht="12.75" customHeight="1">
      <c r="P106" s="134"/>
    </row>
    <row r="107" spans="16:16" ht="12.75" customHeight="1">
      <c r="P107" s="134"/>
    </row>
    <row r="108" spans="16:16" ht="12.75" customHeight="1">
      <c r="P108" s="134"/>
    </row>
    <row r="109" spans="16:16" ht="12.75" customHeight="1">
      <c r="P109" s="134"/>
    </row>
    <row r="110" spans="16:16" ht="12.75" customHeight="1">
      <c r="P110" s="134"/>
    </row>
    <row r="111" spans="16:16" ht="12.75" customHeight="1">
      <c r="P111" s="134"/>
    </row>
    <row r="112" spans="16:16" ht="12.75" customHeight="1">
      <c r="P112" s="134"/>
    </row>
    <row r="113" spans="16:16" ht="12.75" customHeight="1">
      <c r="P113" s="134"/>
    </row>
    <row r="114" spans="16:16" ht="12.75" customHeight="1">
      <c r="P114" s="134"/>
    </row>
    <row r="115" spans="16:16" ht="12.75" customHeight="1">
      <c r="P115" s="134"/>
    </row>
    <row r="116" spans="16:16" ht="12.75" customHeight="1">
      <c r="P116" s="134"/>
    </row>
    <row r="117" spans="16:16" ht="12.75" customHeight="1">
      <c r="P117" s="134"/>
    </row>
    <row r="118" spans="16:16" ht="12.75" customHeight="1">
      <c r="P118" s="134"/>
    </row>
    <row r="119" spans="16:16" ht="12.75" customHeight="1">
      <c r="P119" s="134"/>
    </row>
    <row r="120" spans="16:16" ht="12.75" customHeight="1">
      <c r="P120" s="134"/>
    </row>
    <row r="121" spans="16:16" ht="12.75" customHeight="1">
      <c r="P121" s="134"/>
    </row>
    <row r="122" spans="16:16" ht="12.75" customHeight="1">
      <c r="P122" s="134"/>
    </row>
    <row r="123" spans="16:16" ht="12.75" customHeight="1">
      <c r="P123" s="134"/>
    </row>
    <row r="124" spans="16:16" ht="12.75" customHeight="1">
      <c r="P124" s="134"/>
    </row>
    <row r="125" spans="16:16" ht="12.75" customHeight="1">
      <c r="P125" s="134"/>
    </row>
    <row r="126" spans="16:16" ht="12.75" customHeight="1">
      <c r="P126" s="134"/>
    </row>
    <row r="127" spans="16:16" ht="12.75" customHeight="1">
      <c r="P127" s="134"/>
    </row>
    <row r="128" spans="16:16" ht="12.75" customHeight="1">
      <c r="P128" s="134"/>
    </row>
    <row r="129" spans="16:16" ht="12.75" customHeight="1">
      <c r="P129" s="134"/>
    </row>
    <row r="130" spans="16:16" ht="12.75" customHeight="1">
      <c r="P130" s="134"/>
    </row>
    <row r="131" spans="16:16" ht="12.75" customHeight="1">
      <c r="P131" s="134"/>
    </row>
    <row r="132" spans="16:16" ht="12.75" customHeight="1">
      <c r="P132" s="134"/>
    </row>
    <row r="133" spans="16:16" ht="12.75" customHeight="1">
      <c r="P133" s="134"/>
    </row>
    <row r="134" spans="16:16" ht="12.75" customHeight="1">
      <c r="P134" s="134"/>
    </row>
    <row r="135" spans="16:16" ht="12.75" customHeight="1">
      <c r="P135" s="134"/>
    </row>
    <row r="136" spans="16:16" ht="12.75" customHeight="1">
      <c r="P136" s="134"/>
    </row>
    <row r="137" spans="16:16" ht="12.75" customHeight="1">
      <c r="P137" s="134"/>
    </row>
    <row r="138" spans="16:16" ht="12.75" customHeight="1">
      <c r="P138" s="134"/>
    </row>
    <row r="139" spans="16:16" ht="12.75" customHeight="1">
      <c r="P139" s="134"/>
    </row>
    <row r="140" spans="16:16" ht="12.75" customHeight="1">
      <c r="P140" s="134"/>
    </row>
    <row r="141" spans="16:16" ht="12.75" customHeight="1">
      <c r="P141" s="134"/>
    </row>
    <row r="142" spans="16:16" ht="12.75" customHeight="1">
      <c r="P142" s="134"/>
    </row>
    <row r="143" spans="16:16" ht="12.75" customHeight="1">
      <c r="P143" s="134"/>
    </row>
    <row r="144" spans="16:16" ht="12.75" customHeight="1">
      <c r="P144" s="134"/>
    </row>
    <row r="145" spans="16:16" ht="12.75" customHeight="1">
      <c r="P145" s="134"/>
    </row>
    <row r="146" spans="16:16" ht="12.75" customHeight="1">
      <c r="P146" s="134"/>
    </row>
    <row r="147" spans="16:16" ht="12.75" customHeight="1">
      <c r="P147" s="134"/>
    </row>
    <row r="148" spans="16:16" ht="12.75" customHeight="1">
      <c r="P148" s="134"/>
    </row>
    <row r="149" spans="16:16" ht="12.75" customHeight="1">
      <c r="P149" s="134"/>
    </row>
    <row r="150" spans="16:16" ht="12.75" customHeight="1">
      <c r="P150" s="134"/>
    </row>
    <row r="151" spans="16:16" ht="12.75" customHeight="1">
      <c r="P151" s="134"/>
    </row>
    <row r="152" spans="16:16" ht="12.75" customHeight="1">
      <c r="P152" s="134"/>
    </row>
    <row r="153" spans="16:16" ht="12.75" customHeight="1">
      <c r="P153" s="134"/>
    </row>
    <row r="154" spans="16:16" ht="12.75" customHeight="1">
      <c r="P154" s="134"/>
    </row>
    <row r="155" spans="16:16" ht="12.75" customHeight="1">
      <c r="P155" s="134"/>
    </row>
    <row r="156" spans="16:16" ht="12.75" customHeight="1">
      <c r="P156" s="134"/>
    </row>
    <row r="157" spans="16:16" ht="12.75" customHeight="1">
      <c r="P157" s="134"/>
    </row>
    <row r="158" spans="16:16" ht="12.75" customHeight="1">
      <c r="P158" s="134"/>
    </row>
    <row r="159" spans="16:16" ht="12.75" customHeight="1">
      <c r="P159" s="134"/>
    </row>
    <row r="160" spans="16:16" ht="12.75" customHeight="1">
      <c r="P160" s="134"/>
    </row>
    <row r="161" spans="16:16" ht="12.75" customHeight="1">
      <c r="P161" s="134"/>
    </row>
    <row r="162" spans="16:16" ht="12.75" customHeight="1">
      <c r="P162" s="134"/>
    </row>
    <row r="163" spans="16:16" ht="12.75" customHeight="1">
      <c r="P163" s="134"/>
    </row>
    <row r="164" spans="16:16" ht="12.75" customHeight="1">
      <c r="P164" s="134"/>
    </row>
    <row r="165" spans="16:16" ht="12.75" customHeight="1">
      <c r="P165" s="134"/>
    </row>
    <row r="166" spans="16:16" ht="12.75" customHeight="1">
      <c r="P166" s="134"/>
    </row>
    <row r="167" spans="16:16" ht="12.75" customHeight="1">
      <c r="P167" s="134"/>
    </row>
    <row r="168" spans="16:16" ht="12.75" customHeight="1">
      <c r="P168" s="134"/>
    </row>
    <row r="169" spans="16:16" ht="12.75" customHeight="1">
      <c r="P169" s="134"/>
    </row>
    <row r="170" spans="16:16" ht="12.75" customHeight="1">
      <c r="P170" s="134"/>
    </row>
    <row r="171" spans="16:16" ht="12.75" customHeight="1">
      <c r="P171" s="134"/>
    </row>
    <row r="172" spans="16:16" ht="12.75" customHeight="1">
      <c r="P172" s="134"/>
    </row>
    <row r="173" spans="16:16" ht="12.75" customHeight="1">
      <c r="P173" s="134"/>
    </row>
    <row r="174" spans="16:16" ht="12.75" customHeight="1">
      <c r="P174" s="134"/>
    </row>
    <row r="175" spans="16:16" ht="12.75" customHeight="1">
      <c r="P175" s="134"/>
    </row>
    <row r="176" spans="16:16" ht="12.75" customHeight="1">
      <c r="P176" s="134"/>
    </row>
    <row r="177" spans="16:16" ht="12.75" customHeight="1">
      <c r="P177" s="134"/>
    </row>
    <row r="178" spans="16:16" ht="12.75" customHeight="1">
      <c r="P178" s="134"/>
    </row>
    <row r="179" spans="16:16" ht="12.75" customHeight="1">
      <c r="P179" s="134"/>
    </row>
    <row r="180" spans="16:16" ht="12.75" customHeight="1">
      <c r="P180" s="134"/>
    </row>
    <row r="181" spans="16:16" ht="12.75" customHeight="1">
      <c r="P181" s="134"/>
    </row>
    <row r="182" spans="16:16" ht="12.75" customHeight="1">
      <c r="P182" s="134"/>
    </row>
    <row r="183" spans="16:16" ht="12.75" customHeight="1">
      <c r="P183" s="134"/>
    </row>
    <row r="184" spans="16:16" ht="12.75" customHeight="1">
      <c r="P184" s="134"/>
    </row>
    <row r="185" spans="16:16" ht="12.75" customHeight="1">
      <c r="P185" s="134"/>
    </row>
    <row r="186" spans="16:16" ht="12.75" customHeight="1">
      <c r="P186" s="134"/>
    </row>
    <row r="187" spans="16:16" ht="12.75" customHeight="1">
      <c r="P187" s="134"/>
    </row>
    <row r="188" spans="16:16" ht="12.75" customHeight="1">
      <c r="P188" s="134"/>
    </row>
    <row r="189" spans="16:16" ht="12.75" customHeight="1">
      <c r="P189" s="134"/>
    </row>
    <row r="190" spans="16:16" ht="12.75" customHeight="1">
      <c r="P190" s="134"/>
    </row>
    <row r="191" spans="16:16" ht="12.75" customHeight="1">
      <c r="P191" s="134"/>
    </row>
    <row r="192" spans="16:16" ht="12.75" customHeight="1">
      <c r="P192" s="134"/>
    </row>
    <row r="193" spans="16:16" ht="12.75" customHeight="1">
      <c r="P193" s="134"/>
    </row>
    <row r="194" spans="16:16" ht="12.75" customHeight="1">
      <c r="P194" s="134"/>
    </row>
    <row r="195" spans="16:16" ht="12.75" customHeight="1">
      <c r="P195" s="134"/>
    </row>
    <row r="196" spans="16:16" ht="12.75" customHeight="1">
      <c r="P196" s="134"/>
    </row>
    <row r="197" spans="16:16" ht="12.75" customHeight="1">
      <c r="P197" s="134"/>
    </row>
    <row r="198" spans="16:16" ht="12.75" customHeight="1">
      <c r="P198" s="134"/>
    </row>
    <row r="199" spans="16:16" ht="12.75" customHeight="1">
      <c r="P199" s="134"/>
    </row>
    <row r="200" spans="16:16" ht="12.75" customHeight="1">
      <c r="P200" s="134"/>
    </row>
    <row r="201" spans="16:16" ht="12.75" customHeight="1">
      <c r="P201" s="134"/>
    </row>
    <row r="202" spans="16:16" ht="12.75" customHeight="1">
      <c r="P202" s="134"/>
    </row>
    <row r="203" spans="16:16" ht="12.75" customHeight="1">
      <c r="P203" s="134"/>
    </row>
    <row r="204" spans="16:16" ht="12.75" customHeight="1">
      <c r="P204" s="134"/>
    </row>
    <row r="205" spans="16:16" ht="12.75" customHeight="1">
      <c r="P205" s="134"/>
    </row>
    <row r="206" spans="16:16" ht="12.75" customHeight="1">
      <c r="P206" s="134"/>
    </row>
    <row r="207" spans="16:16" ht="12.75" customHeight="1">
      <c r="P207" s="134"/>
    </row>
    <row r="208" spans="16:16" ht="12.75" customHeight="1">
      <c r="P208" s="134"/>
    </row>
    <row r="209" spans="16:16" ht="12.75" customHeight="1">
      <c r="P209" s="134"/>
    </row>
    <row r="210" spans="16:16" ht="12.75" customHeight="1">
      <c r="P210" s="134"/>
    </row>
    <row r="211" spans="16:16" ht="12.75" customHeight="1">
      <c r="P211" s="134"/>
    </row>
    <row r="212" spans="16:16" ht="12.75" customHeight="1">
      <c r="P212" s="134"/>
    </row>
    <row r="213" spans="16:16" ht="12.75" customHeight="1">
      <c r="P213" s="134"/>
    </row>
    <row r="214" spans="16:16" ht="12.75" customHeight="1">
      <c r="P214" s="134"/>
    </row>
    <row r="215" spans="16:16" ht="12.75" customHeight="1">
      <c r="P215" s="134"/>
    </row>
    <row r="216" spans="16:16" ht="12.75" customHeight="1">
      <c r="P216" s="134"/>
    </row>
    <row r="217" spans="16:16" ht="12.75" customHeight="1">
      <c r="P217" s="134"/>
    </row>
    <row r="218" spans="16:16" ht="12.75" customHeight="1">
      <c r="P218" s="134"/>
    </row>
    <row r="219" spans="16:16" ht="12.75" customHeight="1">
      <c r="P219" s="134"/>
    </row>
    <row r="220" spans="16:16" ht="12.75" customHeight="1">
      <c r="P220" s="134"/>
    </row>
    <row r="221" spans="16:16" ht="12.75" customHeight="1">
      <c r="P221" s="134"/>
    </row>
    <row r="222" spans="16:16" ht="12.75" customHeight="1">
      <c r="P222" s="134"/>
    </row>
    <row r="223" spans="16:16" ht="12.75" customHeight="1">
      <c r="P223" s="134"/>
    </row>
    <row r="224" spans="16:16" ht="12.75" customHeight="1">
      <c r="P224" s="134"/>
    </row>
    <row r="225" spans="16:16" ht="12.75" customHeight="1">
      <c r="P225" s="134"/>
    </row>
    <row r="226" spans="16:16" ht="12.75" customHeight="1">
      <c r="P226" s="134"/>
    </row>
    <row r="227" spans="16:16" ht="12.75" customHeight="1">
      <c r="P227" s="134"/>
    </row>
    <row r="228" spans="16:16" ht="12.75" customHeight="1">
      <c r="P228" s="134"/>
    </row>
    <row r="229" spans="16:16" ht="12.75" customHeight="1">
      <c r="P229" s="134"/>
    </row>
    <row r="230" spans="16:16" ht="12.75" customHeight="1">
      <c r="P230" s="134"/>
    </row>
    <row r="231" spans="16:16" ht="12.75" customHeight="1">
      <c r="P231" s="134"/>
    </row>
    <row r="232" spans="16:16" ht="12.75" customHeight="1">
      <c r="P232" s="134"/>
    </row>
    <row r="233" spans="16:16" ht="12.75" customHeight="1">
      <c r="P233" s="134"/>
    </row>
    <row r="234" spans="16:16" ht="12.75" customHeight="1">
      <c r="P234" s="134"/>
    </row>
    <row r="235" spans="16:16" ht="12.75" customHeight="1">
      <c r="P235" s="134"/>
    </row>
    <row r="236" spans="16:16" ht="12.75" customHeight="1">
      <c r="P236" s="134"/>
    </row>
    <row r="237" spans="16:16" ht="12.75" customHeight="1">
      <c r="P237" s="134"/>
    </row>
    <row r="238" spans="16:16" ht="12.75" customHeight="1">
      <c r="P238" s="134"/>
    </row>
    <row r="239" spans="16:16" ht="12.75" customHeight="1">
      <c r="P239" s="134"/>
    </row>
    <row r="240" spans="16:16" ht="12.75" customHeight="1">
      <c r="P240" s="134"/>
    </row>
    <row r="241" spans="16:16" ht="12.75" customHeight="1">
      <c r="P241" s="134"/>
    </row>
    <row r="242" spans="16:16" ht="12.75" customHeight="1">
      <c r="P242" s="134"/>
    </row>
    <row r="243" spans="16:16" ht="12.75" customHeight="1">
      <c r="P243" s="134"/>
    </row>
    <row r="244" spans="16:16" ht="12.75" customHeight="1">
      <c r="P244" s="134"/>
    </row>
    <row r="245" spans="16:16" ht="12.75" customHeight="1">
      <c r="P245" s="134"/>
    </row>
    <row r="246" spans="16:16" ht="12.75" customHeight="1">
      <c r="P246" s="134"/>
    </row>
    <row r="247" spans="16:16" ht="12.75" customHeight="1">
      <c r="P247" s="134"/>
    </row>
    <row r="248" spans="16:16" ht="12.75" customHeight="1">
      <c r="P248" s="134"/>
    </row>
    <row r="249" spans="16:16" ht="12.75" customHeight="1">
      <c r="P249" s="134"/>
    </row>
    <row r="250" spans="16:16" ht="12.75" customHeight="1">
      <c r="P250" s="134"/>
    </row>
    <row r="251" spans="16:16" ht="12.75" customHeight="1">
      <c r="P251" s="134"/>
    </row>
    <row r="252" spans="16:16" ht="12.75" customHeight="1">
      <c r="P252" s="134"/>
    </row>
    <row r="253" spans="16:16" ht="12.75" customHeight="1">
      <c r="P253" s="134"/>
    </row>
    <row r="254" spans="16:16" ht="12.75" customHeight="1">
      <c r="P254" s="134"/>
    </row>
    <row r="255" spans="16:16" ht="12.75" customHeight="1">
      <c r="P255" s="134"/>
    </row>
    <row r="256" spans="16:16" ht="12.75" customHeight="1">
      <c r="P256" s="134"/>
    </row>
    <row r="257" spans="16:16" ht="12.75" customHeight="1">
      <c r="P257" s="134"/>
    </row>
    <row r="258" spans="16:16" ht="12.75" customHeight="1">
      <c r="P258" s="134"/>
    </row>
    <row r="259" spans="16:16" ht="12.75" customHeight="1">
      <c r="P259" s="134"/>
    </row>
    <row r="260" spans="16:16" ht="12.75" customHeight="1">
      <c r="P260" s="134"/>
    </row>
    <row r="261" spans="16:16" ht="12.75" customHeight="1">
      <c r="P261" s="134"/>
    </row>
    <row r="262" spans="16:16" ht="12.75" customHeight="1">
      <c r="P262" s="134"/>
    </row>
    <row r="263" spans="16:16" ht="12.75" customHeight="1">
      <c r="P263" s="134"/>
    </row>
    <row r="264" spans="16:16" ht="12.75" customHeight="1">
      <c r="P264" s="134"/>
    </row>
    <row r="265" spans="16:16" ht="12.75" customHeight="1">
      <c r="P265" s="134"/>
    </row>
    <row r="266" spans="16:16" ht="12.75" customHeight="1">
      <c r="P266" s="134"/>
    </row>
    <row r="267" spans="16:16" ht="12.75" customHeight="1">
      <c r="P267" s="134"/>
    </row>
    <row r="268" spans="16:16" ht="12.75" customHeight="1">
      <c r="P268" s="134"/>
    </row>
    <row r="269" spans="16:16" ht="12.75" customHeight="1">
      <c r="P269" s="134"/>
    </row>
    <row r="270" spans="16:16" ht="12.75" customHeight="1">
      <c r="P270" s="134"/>
    </row>
    <row r="271" spans="16:16" ht="12.75" customHeight="1">
      <c r="P271" s="134"/>
    </row>
    <row r="272" spans="16:16" ht="12.75" customHeight="1">
      <c r="P272" s="134"/>
    </row>
    <row r="273" spans="16:16" ht="12.75" customHeight="1">
      <c r="P273" s="134"/>
    </row>
    <row r="274" spans="16:16" ht="12.75" customHeight="1">
      <c r="P274" s="134"/>
    </row>
    <row r="275" spans="16:16" ht="12.75" customHeight="1">
      <c r="P275" s="134"/>
    </row>
    <row r="276" spans="16:16" ht="12.75" customHeight="1">
      <c r="P276" s="134"/>
    </row>
    <row r="277" spans="16:16" ht="12.75" customHeight="1">
      <c r="P277" s="134"/>
    </row>
    <row r="278" spans="16:16" ht="12.75" customHeight="1">
      <c r="P278" s="134"/>
    </row>
    <row r="279" spans="16:16" ht="12.75" customHeight="1">
      <c r="P279" s="134"/>
    </row>
    <row r="280" spans="16:16" ht="12.75" customHeight="1">
      <c r="P280" s="134"/>
    </row>
    <row r="281" spans="16:16" ht="12.75" customHeight="1">
      <c r="P281" s="134"/>
    </row>
    <row r="282" spans="16:16" ht="12.75" customHeight="1">
      <c r="P282" s="134"/>
    </row>
    <row r="283" spans="16:16" ht="12.75" customHeight="1">
      <c r="P283" s="134"/>
    </row>
    <row r="284" spans="16:16" ht="12.75" customHeight="1">
      <c r="P284" s="134"/>
    </row>
    <row r="285" spans="16:16" ht="12.75" customHeight="1">
      <c r="P285" s="134"/>
    </row>
    <row r="286" spans="16:16" ht="12.75" customHeight="1">
      <c r="P286" s="134"/>
    </row>
    <row r="287" spans="16:16" ht="12.75" customHeight="1">
      <c r="P287" s="134"/>
    </row>
    <row r="288" spans="16:16" ht="12.75" customHeight="1">
      <c r="P288" s="134"/>
    </row>
    <row r="289" spans="16:16" ht="12.75" customHeight="1">
      <c r="P289" s="134"/>
    </row>
    <row r="290" spans="16:16" ht="12.75" customHeight="1">
      <c r="P290" s="134"/>
    </row>
    <row r="291" spans="16:16" ht="12.75" customHeight="1">
      <c r="P291" s="134"/>
    </row>
    <row r="292" spans="16:16" ht="12.75" customHeight="1">
      <c r="P292" s="134"/>
    </row>
    <row r="293" spans="16:16" ht="12.75" customHeight="1">
      <c r="P293" s="134"/>
    </row>
    <row r="294" spans="16:16" ht="12.75" customHeight="1">
      <c r="P294" s="134"/>
    </row>
    <row r="295" spans="16:16" ht="12.75" customHeight="1">
      <c r="P295" s="134"/>
    </row>
    <row r="296" spans="16:16" ht="12.75" customHeight="1">
      <c r="P296" s="134"/>
    </row>
    <row r="297" spans="16:16" ht="12.75" customHeight="1">
      <c r="P297" s="134"/>
    </row>
    <row r="298" spans="16:16" ht="12.75" customHeight="1">
      <c r="P298" s="134"/>
    </row>
    <row r="299" spans="16:16" ht="12.75" customHeight="1">
      <c r="P299" s="134"/>
    </row>
    <row r="300" spans="16:16" ht="12.75" customHeight="1">
      <c r="P300" s="134"/>
    </row>
    <row r="301" spans="16:16" ht="12.75" customHeight="1">
      <c r="P301" s="134"/>
    </row>
    <row r="302" spans="16:16" ht="12.75" customHeight="1">
      <c r="P302" s="134"/>
    </row>
    <row r="303" spans="16:16" ht="12.75" customHeight="1">
      <c r="P303" s="134"/>
    </row>
    <row r="304" spans="16:16" ht="12.75" customHeight="1">
      <c r="P304" s="134"/>
    </row>
    <row r="305" spans="16:16" ht="12.75" customHeight="1">
      <c r="P305" s="134"/>
    </row>
    <row r="306" spans="16:16" ht="12.75" customHeight="1">
      <c r="P306" s="134"/>
    </row>
    <row r="307" spans="16:16" ht="12.75" customHeight="1">
      <c r="P307" s="134"/>
    </row>
    <row r="308" spans="16:16" ht="12.75" customHeight="1">
      <c r="P308" s="134"/>
    </row>
    <row r="309" spans="16:16" ht="12.75" customHeight="1">
      <c r="P309" s="134"/>
    </row>
    <row r="310" spans="16:16" ht="12.75" customHeight="1">
      <c r="P310" s="134"/>
    </row>
    <row r="311" spans="16:16" ht="12.75" customHeight="1">
      <c r="P311" s="134"/>
    </row>
    <row r="312" spans="16:16" ht="12.75" customHeight="1">
      <c r="P312" s="134"/>
    </row>
    <row r="313" spans="16:16" ht="12.75" customHeight="1">
      <c r="P313" s="134"/>
    </row>
    <row r="314" spans="16:16" ht="12.75" customHeight="1">
      <c r="P314" s="134"/>
    </row>
    <row r="315" spans="16:16" ht="12.75" customHeight="1">
      <c r="P315" s="134"/>
    </row>
    <row r="316" spans="16:16" ht="12.75" customHeight="1">
      <c r="P316" s="134"/>
    </row>
    <row r="317" spans="16:16" ht="12.75" customHeight="1">
      <c r="P317" s="134"/>
    </row>
    <row r="318" spans="16:16" ht="12.75" customHeight="1">
      <c r="P318" s="134"/>
    </row>
    <row r="319" spans="16:16" ht="12.75" customHeight="1">
      <c r="P319" s="134"/>
    </row>
    <row r="320" spans="16:16" ht="12.75" customHeight="1">
      <c r="P320" s="134"/>
    </row>
    <row r="321" spans="16:16" ht="12.75" customHeight="1">
      <c r="P321" s="134"/>
    </row>
    <row r="322" spans="16:16" ht="12.75" customHeight="1">
      <c r="P322" s="134"/>
    </row>
    <row r="323" spans="16:16" ht="12.75" customHeight="1">
      <c r="P323" s="134"/>
    </row>
    <row r="324" spans="16:16" ht="12.75" customHeight="1">
      <c r="P324" s="134"/>
    </row>
    <row r="325" spans="16:16" ht="12.75" customHeight="1">
      <c r="P325" s="134"/>
    </row>
    <row r="326" spans="16:16" ht="12.75" customHeight="1">
      <c r="P326" s="134"/>
    </row>
    <row r="327" spans="16:16" ht="12.75" customHeight="1">
      <c r="P327" s="134"/>
    </row>
    <row r="328" spans="16:16" ht="12.75" customHeight="1">
      <c r="P328" s="134"/>
    </row>
    <row r="329" spans="16:16" ht="12.75" customHeight="1">
      <c r="P329" s="134"/>
    </row>
    <row r="330" spans="16:16" ht="12.75" customHeight="1">
      <c r="P330" s="134"/>
    </row>
    <row r="331" spans="16:16" ht="12.75" customHeight="1">
      <c r="P331" s="134"/>
    </row>
    <row r="332" spans="16:16" ht="12.75" customHeight="1">
      <c r="P332" s="134"/>
    </row>
    <row r="333" spans="16:16" ht="12.75" customHeight="1">
      <c r="P333" s="134"/>
    </row>
    <row r="334" spans="16:16" ht="12.75" customHeight="1">
      <c r="P334" s="134"/>
    </row>
    <row r="335" spans="16:16" ht="12.75" customHeight="1">
      <c r="P335" s="134"/>
    </row>
    <row r="336" spans="16:16" ht="12.75" customHeight="1">
      <c r="P336" s="134"/>
    </row>
    <row r="337" spans="16:16" ht="12.75" customHeight="1">
      <c r="P337" s="134"/>
    </row>
    <row r="338" spans="16:16" ht="12.75" customHeight="1">
      <c r="P338" s="134"/>
    </row>
    <row r="339" spans="16:16" ht="12.75" customHeight="1">
      <c r="P339" s="134"/>
    </row>
    <row r="340" spans="16:16" ht="12.75" customHeight="1">
      <c r="P340" s="134"/>
    </row>
    <row r="341" spans="16:16" ht="12.75" customHeight="1">
      <c r="P341" s="134"/>
    </row>
    <row r="342" spans="16:16" ht="12.75" customHeight="1">
      <c r="P342" s="134"/>
    </row>
    <row r="343" spans="16:16" ht="12.75" customHeight="1">
      <c r="P343" s="134"/>
    </row>
    <row r="344" spans="16:16" ht="12.75" customHeight="1">
      <c r="P344" s="134"/>
    </row>
    <row r="345" spans="16:16" ht="12.75" customHeight="1">
      <c r="P345" s="134"/>
    </row>
    <row r="346" spans="16:16" ht="12.75" customHeight="1">
      <c r="P346" s="134"/>
    </row>
    <row r="347" spans="16:16" ht="12.75" customHeight="1">
      <c r="P347" s="134"/>
    </row>
    <row r="348" spans="16:16" ht="12.75" customHeight="1">
      <c r="P348" s="134"/>
    </row>
    <row r="349" spans="16:16" ht="12.75" customHeight="1">
      <c r="P349" s="134"/>
    </row>
    <row r="350" spans="16:16" ht="12.75" customHeight="1">
      <c r="P350" s="134"/>
    </row>
    <row r="351" spans="16:16" ht="12.75" customHeight="1">
      <c r="P351" s="134"/>
    </row>
    <row r="352" spans="16:16" ht="12.75" customHeight="1">
      <c r="P352" s="134"/>
    </row>
    <row r="353" spans="16:16" ht="12.75" customHeight="1">
      <c r="P353" s="134"/>
    </row>
    <row r="354" spans="16:16" ht="12.75" customHeight="1">
      <c r="P354" s="134"/>
    </row>
    <row r="355" spans="16:16" ht="12.75" customHeight="1">
      <c r="P355" s="134"/>
    </row>
    <row r="356" spans="16:16" ht="12.75" customHeight="1">
      <c r="P356" s="134"/>
    </row>
    <row r="357" spans="16:16" ht="12.75" customHeight="1">
      <c r="P357" s="134"/>
    </row>
    <row r="358" spans="16:16" ht="12.75" customHeight="1">
      <c r="P358" s="134"/>
    </row>
    <row r="359" spans="16:16" ht="12.75" customHeight="1">
      <c r="P359" s="134"/>
    </row>
    <row r="360" spans="16:16" ht="12.75" customHeight="1">
      <c r="P360" s="134"/>
    </row>
    <row r="361" spans="16:16" ht="12.75" customHeight="1">
      <c r="P361" s="134"/>
    </row>
    <row r="362" spans="16:16" ht="12.75" customHeight="1">
      <c r="P362" s="134"/>
    </row>
    <row r="363" spans="16:16" ht="12.75" customHeight="1">
      <c r="P363" s="134"/>
    </row>
    <row r="364" spans="16:16" ht="12.75" customHeight="1">
      <c r="P364" s="134"/>
    </row>
    <row r="365" spans="16:16" ht="12.75" customHeight="1">
      <c r="P365" s="134"/>
    </row>
    <row r="366" spans="16:16" ht="12.75" customHeight="1">
      <c r="P366" s="134"/>
    </row>
    <row r="367" spans="16:16" ht="12.75" customHeight="1">
      <c r="P367" s="134"/>
    </row>
    <row r="368" spans="16:16" ht="12.75" customHeight="1">
      <c r="P368" s="134"/>
    </row>
    <row r="369" spans="16:16" ht="12.75" customHeight="1">
      <c r="P369" s="134"/>
    </row>
    <row r="370" spans="16:16" ht="12.75" customHeight="1">
      <c r="P370" s="134"/>
    </row>
    <row r="371" spans="16:16" ht="12.75" customHeight="1">
      <c r="P371" s="134"/>
    </row>
    <row r="372" spans="16:16" ht="12.75" customHeight="1">
      <c r="P372" s="134"/>
    </row>
    <row r="373" spans="16:16" ht="12.75" customHeight="1">
      <c r="P373" s="134"/>
    </row>
    <row r="374" spans="16:16" ht="12.75" customHeight="1">
      <c r="P374" s="134"/>
    </row>
    <row r="375" spans="16:16" ht="12.75" customHeight="1">
      <c r="P375" s="134"/>
    </row>
    <row r="376" spans="16:16" ht="12.75" customHeight="1">
      <c r="P376" s="134"/>
    </row>
    <row r="377" spans="16:16" ht="12.75" customHeight="1">
      <c r="P377" s="134"/>
    </row>
    <row r="378" spans="16:16" ht="12.75" customHeight="1">
      <c r="P378" s="134"/>
    </row>
    <row r="379" spans="16:16" ht="12.75" customHeight="1">
      <c r="P379" s="134"/>
    </row>
    <row r="380" spans="16:16" ht="12.75" customHeight="1">
      <c r="P380" s="134"/>
    </row>
    <row r="381" spans="16:16" ht="12.75" customHeight="1">
      <c r="P381" s="134"/>
    </row>
    <row r="382" spans="16:16" ht="12.75" customHeight="1">
      <c r="P382" s="134"/>
    </row>
    <row r="383" spans="16:16" ht="12.75" customHeight="1">
      <c r="P383" s="134"/>
    </row>
    <row r="384" spans="16:16" ht="12.75" customHeight="1">
      <c r="P384" s="134"/>
    </row>
    <row r="385" spans="16:16" ht="12.75" customHeight="1">
      <c r="P385" s="134"/>
    </row>
    <row r="386" spans="16:16" ht="12.75" customHeight="1">
      <c r="P386" s="134"/>
    </row>
    <row r="387" spans="16:16" ht="12.75" customHeight="1">
      <c r="P387" s="134"/>
    </row>
    <row r="388" spans="16:16" ht="12.75" customHeight="1">
      <c r="P388" s="134"/>
    </row>
    <row r="389" spans="16:16" ht="12.75" customHeight="1">
      <c r="P389" s="134"/>
    </row>
    <row r="390" spans="16:16" ht="12.75" customHeight="1">
      <c r="P390" s="134"/>
    </row>
    <row r="391" spans="16:16" ht="12.75" customHeight="1">
      <c r="P391" s="134"/>
    </row>
    <row r="392" spans="16:16" ht="12.75" customHeight="1">
      <c r="P392" s="134"/>
    </row>
    <row r="393" spans="16:16" ht="12.75" customHeight="1">
      <c r="P393" s="134"/>
    </row>
    <row r="394" spans="16:16" ht="12.75" customHeight="1">
      <c r="P394" s="134"/>
    </row>
    <row r="395" spans="16:16" ht="12.75" customHeight="1">
      <c r="P395" s="134"/>
    </row>
    <row r="396" spans="16:16" ht="12.75" customHeight="1">
      <c r="P396" s="134"/>
    </row>
    <row r="397" spans="16:16" ht="12.75" customHeight="1">
      <c r="P397" s="134"/>
    </row>
    <row r="398" spans="16:16" ht="12.75" customHeight="1">
      <c r="P398" s="134"/>
    </row>
    <row r="399" spans="16:16" ht="12.75" customHeight="1">
      <c r="P399" s="134"/>
    </row>
    <row r="400" spans="16:16" ht="12.75" customHeight="1">
      <c r="P400" s="134"/>
    </row>
    <row r="401" spans="16:16" ht="12.75" customHeight="1">
      <c r="P401" s="134"/>
    </row>
    <row r="402" spans="16:16" ht="12.75" customHeight="1">
      <c r="P402" s="134"/>
    </row>
    <row r="403" spans="16:16" ht="12.75" customHeight="1">
      <c r="P403" s="134"/>
    </row>
    <row r="404" spans="16:16" ht="12.75" customHeight="1">
      <c r="P404" s="134"/>
    </row>
    <row r="405" spans="16:16" ht="12.75" customHeight="1">
      <c r="P405" s="134"/>
    </row>
    <row r="406" spans="16:16" ht="12.75" customHeight="1">
      <c r="P406" s="134"/>
    </row>
    <row r="407" spans="16:16" ht="12.75" customHeight="1">
      <c r="P407" s="134"/>
    </row>
    <row r="408" spans="16:16" ht="12.75" customHeight="1">
      <c r="P408" s="134"/>
    </row>
    <row r="409" spans="16:16" ht="12.75" customHeight="1">
      <c r="P409" s="134"/>
    </row>
    <row r="410" spans="16:16" ht="12.75" customHeight="1">
      <c r="P410" s="134"/>
    </row>
    <row r="411" spans="16:16" ht="12.75" customHeight="1">
      <c r="P411" s="134"/>
    </row>
    <row r="412" spans="16:16" ht="12.75" customHeight="1">
      <c r="P412" s="134"/>
    </row>
    <row r="413" spans="16:16" ht="12.75" customHeight="1">
      <c r="P413" s="134"/>
    </row>
    <row r="414" spans="16:16" ht="12.75" customHeight="1">
      <c r="P414" s="134"/>
    </row>
    <row r="415" spans="16:16" ht="12.75" customHeight="1">
      <c r="P415" s="134"/>
    </row>
    <row r="416" spans="16:16" ht="12.75" customHeight="1">
      <c r="P416" s="134"/>
    </row>
    <row r="417" spans="16:16" ht="12.75" customHeight="1">
      <c r="P417" s="134"/>
    </row>
    <row r="418" spans="16:16" ht="12.75" customHeight="1">
      <c r="P418" s="134"/>
    </row>
    <row r="419" spans="16:16" ht="12.75" customHeight="1">
      <c r="P419" s="134"/>
    </row>
    <row r="420" spans="16:16" ht="12.75" customHeight="1">
      <c r="P420" s="134"/>
    </row>
    <row r="421" spans="16:16" ht="12.75" customHeight="1">
      <c r="P421" s="134"/>
    </row>
    <row r="422" spans="16:16" ht="12.75" customHeight="1">
      <c r="P422" s="134"/>
    </row>
    <row r="423" spans="16:16" ht="12.75" customHeight="1">
      <c r="P423" s="134"/>
    </row>
    <row r="424" spans="16:16" ht="12.75" customHeight="1">
      <c r="P424" s="134"/>
    </row>
    <row r="425" spans="16:16" ht="12.75" customHeight="1">
      <c r="P425" s="134"/>
    </row>
    <row r="426" spans="16:16" ht="12.75" customHeight="1">
      <c r="P426" s="134"/>
    </row>
    <row r="427" spans="16:16" ht="12.75" customHeight="1">
      <c r="P427" s="134"/>
    </row>
    <row r="428" spans="16:16" ht="12.75" customHeight="1">
      <c r="P428" s="134"/>
    </row>
    <row r="429" spans="16:16" ht="12.75" customHeight="1">
      <c r="P429" s="134"/>
    </row>
    <row r="430" spans="16:16" ht="12.75" customHeight="1">
      <c r="P430" s="134"/>
    </row>
    <row r="431" spans="16:16" ht="12.75" customHeight="1">
      <c r="P431" s="134"/>
    </row>
    <row r="432" spans="16:16" ht="12.75" customHeight="1">
      <c r="P432" s="134"/>
    </row>
    <row r="433" spans="16:16" ht="12.75" customHeight="1">
      <c r="P433" s="134"/>
    </row>
    <row r="434" spans="16:16" ht="12.75" customHeight="1">
      <c r="P434" s="134"/>
    </row>
    <row r="435" spans="16:16" ht="12.75" customHeight="1">
      <c r="P435" s="134"/>
    </row>
    <row r="436" spans="16:16" ht="12.75" customHeight="1">
      <c r="P436" s="134"/>
    </row>
    <row r="437" spans="16:16" ht="12.75" customHeight="1">
      <c r="P437" s="134"/>
    </row>
    <row r="438" spans="16:16" ht="12.75" customHeight="1">
      <c r="P438" s="134"/>
    </row>
    <row r="439" spans="16:16" ht="12.75" customHeight="1">
      <c r="P439" s="134"/>
    </row>
    <row r="440" spans="16:16" ht="12.75" customHeight="1">
      <c r="P440" s="134"/>
    </row>
    <row r="441" spans="16:16" ht="12.75" customHeight="1">
      <c r="P441" s="134"/>
    </row>
    <row r="442" spans="16:16" ht="12.75" customHeight="1">
      <c r="P442" s="134"/>
    </row>
    <row r="443" spans="16:16" ht="12.75" customHeight="1">
      <c r="P443" s="134"/>
    </row>
    <row r="444" spans="16:16" ht="12.75" customHeight="1">
      <c r="P444" s="134"/>
    </row>
    <row r="445" spans="16:16" ht="12.75" customHeight="1">
      <c r="P445" s="134"/>
    </row>
    <row r="446" spans="16:16" ht="12.75" customHeight="1">
      <c r="P446" s="134"/>
    </row>
    <row r="447" spans="16:16" ht="12.75" customHeight="1">
      <c r="P447" s="134"/>
    </row>
    <row r="448" spans="16:16" ht="12.75" customHeight="1">
      <c r="P448" s="134"/>
    </row>
    <row r="449" spans="16:16" ht="12.75" customHeight="1">
      <c r="P449" s="134"/>
    </row>
    <row r="450" spans="16:16" ht="12.75" customHeight="1">
      <c r="P450" s="134"/>
    </row>
    <row r="451" spans="16:16" ht="12.75" customHeight="1">
      <c r="P451" s="134"/>
    </row>
    <row r="452" spans="16:16" ht="12.75" customHeight="1">
      <c r="P452" s="134"/>
    </row>
    <row r="453" spans="16:16" ht="12.75" customHeight="1">
      <c r="P453" s="134"/>
    </row>
    <row r="454" spans="16:16" ht="12.75" customHeight="1">
      <c r="P454" s="134"/>
    </row>
    <row r="455" spans="16:16" ht="12.75" customHeight="1">
      <c r="P455" s="134"/>
    </row>
    <row r="456" spans="16:16" ht="12.75" customHeight="1">
      <c r="P456" s="134"/>
    </row>
    <row r="457" spans="16:16" ht="12.75" customHeight="1">
      <c r="P457" s="134"/>
    </row>
    <row r="458" spans="16:16" ht="12.75" customHeight="1">
      <c r="P458" s="134"/>
    </row>
    <row r="459" spans="16:16" ht="12.75" customHeight="1">
      <c r="P459" s="134"/>
    </row>
    <row r="460" spans="16:16" ht="12.75" customHeight="1">
      <c r="P460" s="134"/>
    </row>
    <row r="461" spans="16:16" ht="12.75" customHeight="1">
      <c r="P461" s="134"/>
    </row>
    <row r="462" spans="16:16" ht="12.75" customHeight="1">
      <c r="P462" s="134"/>
    </row>
    <row r="463" spans="16:16" ht="12.75" customHeight="1">
      <c r="P463" s="134"/>
    </row>
    <row r="464" spans="16:16" ht="12.75" customHeight="1">
      <c r="P464" s="134"/>
    </row>
    <row r="465" spans="16:16" ht="12.75" customHeight="1">
      <c r="P465" s="134"/>
    </row>
    <row r="466" spans="16:16" ht="12.75" customHeight="1">
      <c r="P466" s="134"/>
    </row>
    <row r="467" spans="16:16" ht="12.75" customHeight="1">
      <c r="P467" s="134"/>
    </row>
    <row r="468" spans="16:16" ht="12.75" customHeight="1">
      <c r="P468" s="134"/>
    </row>
    <row r="469" spans="16:16" ht="12.75" customHeight="1">
      <c r="P469" s="134"/>
    </row>
    <row r="470" spans="16:16" ht="12.75" customHeight="1">
      <c r="P470" s="134"/>
    </row>
    <row r="471" spans="16:16" ht="12.75" customHeight="1">
      <c r="P471" s="134"/>
    </row>
    <row r="472" spans="16:16" ht="12.75" customHeight="1">
      <c r="P472" s="134"/>
    </row>
    <row r="473" spans="16:16" ht="12.75" customHeight="1">
      <c r="P473" s="134"/>
    </row>
    <row r="474" spans="16:16" ht="12.75" customHeight="1">
      <c r="P474" s="134"/>
    </row>
    <row r="475" spans="16:16" ht="12.75" customHeight="1">
      <c r="P475" s="134"/>
    </row>
    <row r="476" spans="16:16" ht="12.75" customHeight="1">
      <c r="P476" s="134"/>
    </row>
    <row r="477" spans="16:16" ht="12.75" customHeight="1">
      <c r="P477" s="134"/>
    </row>
    <row r="478" spans="16:16" ht="12.75" customHeight="1">
      <c r="P478" s="134"/>
    </row>
    <row r="479" spans="16:16" ht="12.75" customHeight="1">
      <c r="P479" s="134"/>
    </row>
    <row r="480" spans="16:16" ht="12.75" customHeight="1">
      <c r="P480" s="134"/>
    </row>
    <row r="481" spans="16:16" ht="12.75" customHeight="1">
      <c r="P481" s="134"/>
    </row>
    <row r="482" spans="16:16" ht="12.75" customHeight="1">
      <c r="P482" s="134"/>
    </row>
    <row r="483" spans="16:16" ht="12.75" customHeight="1">
      <c r="P483" s="134"/>
    </row>
    <row r="484" spans="16:16" ht="12.75" customHeight="1">
      <c r="P484" s="134"/>
    </row>
    <row r="485" spans="16:16" ht="12.75" customHeight="1">
      <c r="P485" s="134"/>
    </row>
    <row r="486" spans="16:16" ht="12.75" customHeight="1">
      <c r="P486" s="134"/>
    </row>
    <row r="487" spans="16:16" ht="12.75" customHeight="1">
      <c r="P487" s="134"/>
    </row>
    <row r="488" spans="16:16" ht="12.75" customHeight="1">
      <c r="P488" s="134"/>
    </row>
    <row r="489" spans="16:16" ht="12.75" customHeight="1">
      <c r="P489" s="134"/>
    </row>
    <row r="490" spans="16:16" ht="12.75" customHeight="1">
      <c r="P490" s="134"/>
    </row>
    <row r="491" spans="16:16" ht="12.75" customHeight="1">
      <c r="P491" s="134"/>
    </row>
    <row r="492" spans="16:16" ht="12.75" customHeight="1">
      <c r="P492" s="134"/>
    </row>
    <row r="493" spans="16:16" ht="12.75" customHeight="1">
      <c r="P493" s="134"/>
    </row>
    <row r="494" spans="16:16" ht="12.75" customHeight="1">
      <c r="P494" s="134"/>
    </row>
    <row r="495" spans="16:16" ht="12.75" customHeight="1">
      <c r="P495" s="134"/>
    </row>
    <row r="496" spans="16:16" ht="12.75" customHeight="1">
      <c r="P496" s="134"/>
    </row>
    <row r="497" spans="16:16" ht="12.75" customHeight="1">
      <c r="P497" s="134"/>
    </row>
    <row r="498" spans="16:16" ht="12.75" customHeight="1">
      <c r="P498" s="134"/>
    </row>
    <row r="499" spans="16:16" ht="12.75" customHeight="1">
      <c r="P499" s="134"/>
    </row>
    <row r="500" spans="16:16" ht="12.75" customHeight="1">
      <c r="P500" s="134"/>
    </row>
    <row r="501" spans="16:16" ht="12.75" customHeight="1">
      <c r="P501" s="134"/>
    </row>
    <row r="502" spans="16:16" ht="12.75" customHeight="1">
      <c r="P502" s="134"/>
    </row>
    <row r="503" spans="16:16" ht="12.75" customHeight="1">
      <c r="P503" s="134"/>
    </row>
    <row r="504" spans="16:16" ht="12.75" customHeight="1">
      <c r="P504" s="134"/>
    </row>
    <row r="505" spans="16:16" ht="12.75" customHeight="1">
      <c r="P505" s="134"/>
    </row>
    <row r="506" spans="16:16" ht="12.75" customHeight="1">
      <c r="P506" s="134"/>
    </row>
    <row r="507" spans="16:16" ht="12.75" customHeight="1">
      <c r="P507" s="134"/>
    </row>
    <row r="508" spans="16:16" ht="12.75" customHeight="1">
      <c r="P508" s="134"/>
    </row>
    <row r="509" spans="16:16" ht="12.75" customHeight="1">
      <c r="P509" s="134"/>
    </row>
    <row r="510" spans="16:16" ht="12.75" customHeight="1">
      <c r="P510" s="134"/>
    </row>
    <row r="511" spans="16:16" ht="12.75" customHeight="1">
      <c r="P511" s="134"/>
    </row>
    <row r="512" spans="16:16" ht="12.75" customHeight="1">
      <c r="P512" s="134"/>
    </row>
    <row r="513" spans="16:16" ht="12.75" customHeight="1">
      <c r="P513" s="134"/>
    </row>
    <row r="514" spans="16:16" ht="12.75" customHeight="1">
      <c r="P514" s="134"/>
    </row>
    <row r="515" spans="16:16" ht="12.75" customHeight="1">
      <c r="P515" s="134"/>
    </row>
    <row r="516" spans="16:16" ht="12.75" customHeight="1">
      <c r="P516" s="134"/>
    </row>
    <row r="517" spans="16:16" ht="12.75" customHeight="1">
      <c r="P517" s="134"/>
    </row>
    <row r="518" spans="16:16" ht="12.75" customHeight="1">
      <c r="P518" s="134"/>
    </row>
    <row r="519" spans="16:16" ht="12.75" customHeight="1">
      <c r="P519" s="134"/>
    </row>
    <row r="520" spans="16:16" ht="12.75" customHeight="1">
      <c r="P520" s="134"/>
    </row>
    <row r="521" spans="16:16" ht="12.75" customHeight="1">
      <c r="P521" s="134"/>
    </row>
    <row r="522" spans="16:16" ht="12.75" customHeight="1">
      <c r="P522" s="134"/>
    </row>
    <row r="523" spans="16:16" ht="12.75" customHeight="1">
      <c r="P523" s="134"/>
    </row>
    <row r="524" spans="16:16" ht="12.75" customHeight="1">
      <c r="P524" s="134"/>
    </row>
    <row r="525" spans="16:16" ht="12.75" customHeight="1">
      <c r="P525" s="134"/>
    </row>
    <row r="526" spans="16:16" ht="12.75" customHeight="1">
      <c r="P526" s="134"/>
    </row>
    <row r="527" spans="16:16" ht="12.75" customHeight="1">
      <c r="P527" s="134"/>
    </row>
    <row r="528" spans="16:16" ht="12.75" customHeight="1">
      <c r="P528" s="134"/>
    </row>
    <row r="529" spans="16:16" ht="12.75" customHeight="1">
      <c r="P529" s="134"/>
    </row>
    <row r="530" spans="16:16" ht="12.75" customHeight="1">
      <c r="P530" s="134"/>
    </row>
    <row r="531" spans="16:16" ht="12.75" customHeight="1">
      <c r="P531" s="134"/>
    </row>
    <row r="532" spans="16:16" ht="12.75" customHeight="1">
      <c r="P532" s="134"/>
    </row>
    <row r="533" spans="16:16" ht="12.75" customHeight="1">
      <c r="P533" s="134"/>
    </row>
    <row r="534" spans="16:16" ht="12.75" customHeight="1">
      <c r="P534" s="134"/>
    </row>
    <row r="535" spans="16:16" ht="12.75" customHeight="1">
      <c r="P535" s="134"/>
    </row>
    <row r="536" spans="16:16" ht="12.75" customHeight="1">
      <c r="P536" s="134"/>
    </row>
    <row r="537" spans="16:16" ht="12.75" customHeight="1">
      <c r="P537" s="134"/>
    </row>
    <row r="538" spans="16:16" ht="12.75" customHeight="1">
      <c r="P538" s="134"/>
    </row>
    <row r="539" spans="16:16" ht="12.75" customHeight="1">
      <c r="P539" s="134"/>
    </row>
    <row r="540" spans="16:16" ht="12.75" customHeight="1">
      <c r="P540" s="134"/>
    </row>
    <row r="541" spans="16:16" ht="12.75" customHeight="1">
      <c r="P541" s="134"/>
    </row>
    <row r="542" spans="16:16" ht="12.75" customHeight="1">
      <c r="P542" s="134"/>
    </row>
    <row r="543" spans="16:16" ht="12.75" customHeight="1">
      <c r="P543" s="134"/>
    </row>
    <row r="544" spans="16:16" ht="12.75" customHeight="1">
      <c r="P544" s="134"/>
    </row>
    <row r="545" spans="16:16" ht="12.75" customHeight="1">
      <c r="P545" s="134"/>
    </row>
    <row r="546" spans="16:16" ht="12.75" customHeight="1">
      <c r="P546" s="134"/>
    </row>
    <row r="547" spans="16:16" ht="12.75" customHeight="1">
      <c r="P547" s="134"/>
    </row>
    <row r="548" spans="16:16" ht="12.75" customHeight="1">
      <c r="P548" s="134"/>
    </row>
    <row r="549" spans="16:16" ht="12.75" customHeight="1">
      <c r="P549" s="134"/>
    </row>
    <row r="550" spans="16:16" ht="12.75" customHeight="1">
      <c r="P550" s="134"/>
    </row>
    <row r="551" spans="16:16" ht="12.75" customHeight="1">
      <c r="P551" s="134"/>
    </row>
    <row r="552" spans="16:16" ht="12.75" customHeight="1">
      <c r="P552" s="134"/>
    </row>
    <row r="553" spans="16:16" ht="12.75" customHeight="1">
      <c r="P553" s="134"/>
    </row>
    <row r="554" spans="16:16" ht="12.75" customHeight="1">
      <c r="P554" s="134"/>
    </row>
    <row r="555" spans="16:16" ht="12.75" customHeight="1">
      <c r="P555" s="134"/>
    </row>
    <row r="556" spans="16:16" ht="12.75" customHeight="1">
      <c r="P556" s="134"/>
    </row>
    <row r="557" spans="16:16" ht="12.75" customHeight="1">
      <c r="P557" s="134"/>
    </row>
    <row r="558" spans="16:16" ht="12.75" customHeight="1">
      <c r="P558" s="134"/>
    </row>
    <row r="559" spans="16:16" ht="12.75" customHeight="1">
      <c r="P559" s="134"/>
    </row>
    <row r="560" spans="16:16" ht="12.75" customHeight="1">
      <c r="P560" s="134"/>
    </row>
    <row r="561" spans="16:16" ht="12.75" customHeight="1">
      <c r="P561" s="134"/>
    </row>
    <row r="562" spans="16:16" ht="12.75" customHeight="1">
      <c r="P562" s="134"/>
    </row>
    <row r="563" spans="16:16" ht="12.75" customHeight="1">
      <c r="P563" s="134"/>
    </row>
    <row r="564" spans="16:16" ht="12.75" customHeight="1">
      <c r="P564" s="134"/>
    </row>
    <row r="565" spans="16:16" ht="12.75" customHeight="1">
      <c r="P565" s="134"/>
    </row>
    <row r="566" spans="16:16" ht="12.75" customHeight="1">
      <c r="P566" s="134"/>
    </row>
    <row r="567" spans="16:16" ht="12.75" customHeight="1">
      <c r="P567" s="134"/>
    </row>
    <row r="568" spans="16:16" ht="12.75" customHeight="1">
      <c r="P568" s="134"/>
    </row>
    <row r="569" spans="16:16" ht="12.75" customHeight="1">
      <c r="P569" s="134"/>
    </row>
    <row r="570" spans="16:16" ht="12.75" customHeight="1">
      <c r="P570" s="134"/>
    </row>
    <row r="571" spans="16:16" ht="12.75" customHeight="1">
      <c r="P571" s="134"/>
    </row>
    <row r="572" spans="16:16" ht="12.75" customHeight="1">
      <c r="P572" s="134"/>
    </row>
    <row r="573" spans="16:16" ht="12.75" customHeight="1">
      <c r="P573" s="134"/>
    </row>
    <row r="574" spans="16:16" ht="12.75" customHeight="1">
      <c r="P574" s="134"/>
    </row>
    <row r="575" spans="16:16" ht="12.75" customHeight="1">
      <c r="P575" s="134"/>
    </row>
    <row r="576" spans="16:16" ht="12.75" customHeight="1">
      <c r="P576" s="134"/>
    </row>
    <row r="577" spans="16:16" ht="12.75" customHeight="1">
      <c r="P577" s="134"/>
    </row>
    <row r="578" spans="16:16" ht="12.75" customHeight="1">
      <c r="P578" s="134"/>
    </row>
    <row r="579" spans="16:16" ht="12.75" customHeight="1">
      <c r="P579" s="134"/>
    </row>
    <row r="580" spans="16:16" ht="12.75" customHeight="1">
      <c r="P580" s="134"/>
    </row>
    <row r="581" spans="16:16" ht="12.75" customHeight="1">
      <c r="P581" s="134"/>
    </row>
    <row r="582" spans="16:16" ht="12.75" customHeight="1">
      <c r="P582" s="134"/>
    </row>
    <row r="583" spans="16:16" ht="12.75" customHeight="1">
      <c r="P583" s="134"/>
    </row>
    <row r="584" spans="16:16" ht="12.75" customHeight="1">
      <c r="P584" s="134"/>
    </row>
    <row r="585" spans="16:16" ht="12.75" customHeight="1">
      <c r="P585" s="134"/>
    </row>
    <row r="586" spans="16:16" ht="12.75" customHeight="1">
      <c r="P586" s="134"/>
    </row>
    <row r="587" spans="16:16" ht="12.75" customHeight="1">
      <c r="P587" s="134"/>
    </row>
    <row r="588" spans="16:16" ht="12.75" customHeight="1">
      <c r="P588" s="134"/>
    </row>
    <row r="589" spans="16:16" ht="12.75" customHeight="1">
      <c r="P589" s="134"/>
    </row>
    <row r="590" spans="16:16" ht="12.75" customHeight="1">
      <c r="P590" s="134"/>
    </row>
    <row r="591" spans="16:16" ht="12.75" customHeight="1">
      <c r="P591" s="134"/>
    </row>
    <row r="592" spans="16:16" ht="12.75" customHeight="1">
      <c r="P592" s="134"/>
    </row>
    <row r="593" spans="16:16" ht="12.75" customHeight="1">
      <c r="P593" s="134"/>
    </row>
    <row r="594" spans="16:16" ht="12.75" customHeight="1">
      <c r="P594" s="134"/>
    </row>
    <row r="595" spans="16:16" ht="12.75" customHeight="1">
      <c r="P595" s="134"/>
    </row>
    <row r="596" spans="16:16" ht="12.75" customHeight="1">
      <c r="P596" s="134"/>
    </row>
    <row r="597" spans="16:16" ht="12.75" customHeight="1">
      <c r="P597" s="134"/>
    </row>
    <row r="598" spans="16:16" ht="12.75" customHeight="1">
      <c r="P598" s="134"/>
    </row>
    <row r="599" spans="16:16" ht="12.75" customHeight="1">
      <c r="P599" s="134"/>
    </row>
    <row r="600" spans="16:16" ht="12.75" customHeight="1">
      <c r="P600" s="134"/>
    </row>
    <row r="601" spans="16:16" ht="12.75" customHeight="1">
      <c r="P601" s="134"/>
    </row>
    <row r="602" spans="16:16" ht="12.75" customHeight="1">
      <c r="P602" s="134"/>
    </row>
    <row r="603" spans="16:16" ht="12.75" customHeight="1">
      <c r="P603" s="134"/>
    </row>
    <row r="604" spans="16:16" ht="12.75" customHeight="1">
      <c r="P604" s="134"/>
    </row>
    <row r="605" spans="16:16" ht="12.75" customHeight="1">
      <c r="P605" s="134"/>
    </row>
    <row r="606" spans="16:16" ht="12.75" customHeight="1">
      <c r="P606" s="134"/>
    </row>
    <row r="607" spans="16:16" ht="12.75" customHeight="1">
      <c r="P607" s="134"/>
    </row>
    <row r="608" spans="16:16" ht="12.75" customHeight="1">
      <c r="P608" s="134"/>
    </row>
    <row r="609" spans="16:16" ht="12.75" customHeight="1">
      <c r="P609" s="134"/>
    </row>
    <row r="610" spans="16:16" ht="12.75" customHeight="1">
      <c r="P610" s="134"/>
    </row>
    <row r="611" spans="16:16" ht="12.75" customHeight="1">
      <c r="P611" s="134"/>
    </row>
    <row r="612" spans="16:16" ht="12.75" customHeight="1">
      <c r="P612" s="134"/>
    </row>
    <row r="613" spans="16:16" ht="12.75" customHeight="1">
      <c r="P613" s="134"/>
    </row>
    <row r="614" spans="16:16" ht="12.75" customHeight="1">
      <c r="P614" s="134"/>
    </row>
    <row r="615" spans="16:16" ht="12.75" customHeight="1">
      <c r="P615" s="134"/>
    </row>
    <row r="616" spans="16:16" ht="12.75" customHeight="1">
      <c r="P616" s="134"/>
    </row>
    <row r="617" spans="16:16" ht="12.75" customHeight="1">
      <c r="P617" s="134"/>
    </row>
    <row r="618" spans="16:16" ht="12.75" customHeight="1">
      <c r="P618" s="134"/>
    </row>
    <row r="619" spans="16:16" ht="12.75" customHeight="1">
      <c r="P619" s="134"/>
    </row>
    <row r="620" spans="16:16" ht="12.75" customHeight="1">
      <c r="P620" s="134"/>
    </row>
    <row r="621" spans="16:16" ht="12.75" customHeight="1">
      <c r="P621" s="134"/>
    </row>
    <row r="622" spans="16:16" ht="12.75" customHeight="1">
      <c r="P622" s="134"/>
    </row>
    <row r="623" spans="16:16" ht="12.75" customHeight="1">
      <c r="P623" s="134"/>
    </row>
    <row r="624" spans="16:16" ht="12.75" customHeight="1">
      <c r="P624" s="134"/>
    </row>
    <row r="625" spans="16:16" ht="12.75" customHeight="1">
      <c r="P625" s="134"/>
    </row>
    <row r="626" spans="16:16" ht="12.75" customHeight="1">
      <c r="P626" s="134"/>
    </row>
    <row r="627" spans="16:16" ht="12.75" customHeight="1">
      <c r="P627" s="134"/>
    </row>
    <row r="628" spans="16:16" ht="12.75" customHeight="1">
      <c r="P628" s="134"/>
    </row>
    <row r="629" spans="16:16" ht="12.75" customHeight="1">
      <c r="P629" s="134"/>
    </row>
    <row r="630" spans="16:16" ht="12.75" customHeight="1">
      <c r="P630" s="134"/>
    </row>
    <row r="631" spans="16:16" ht="12.75" customHeight="1">
      <c r="P631" s="134"/>
    </row>
    <row r="632" spans="16:16" ht="12.75" customHeight="1">
      <c r="P632" s="134"/>
    </row>
    <row r="633" spans="16:16" ht="12.75" customHeight="1">
      <c r="P633" s="134"/>
    </row>
    <row r="634" spans="16:16" ht="12.75" customHeight="1">
      <c r="P634" s="134"/>
    </row>
    <row r="635" spans="16:16" ht="12.75" customHeight="1">
      <c r="P635" s="134"/>
    </row>
    <row r="636" spans="16:16" ht="12.75" customHeight="1">
      <c r="P636" s="134"/>
    </row>
    <row r="637" spans="16:16" ht="12.75" customHeight="1">
      <c r="P637" s="134"/>
    </row>
    <row r="638" spans="16:16" ht="12.75" customHeight="1">
      <c r="P638" s="134"/>
    </row>
    <row r="639" spans="16:16" ht="12.75" customHeight="1">
      <c r="P639" s="134"/>
    </row>
    <row r="640" spans="16:16" ht="12.75" customHeight="1">
      <c r="P640" s="134"/>
    </row>
    <row r="641" spans="16:16" ht="12.75" customHeight="1">
      <c r="P641" s="134"/>
    </row>
    <row r="642" spans="16:16" ht="12.75" customHeight="1">
      <c r="P642" s="134"/>
    </row>
    <row r="643" spans="16:16" ht="12.75" customHeight="1">
      <c r="P643" s="134"/>
    </row>
    <row r="644" spans="16:16" ht="12.75" customHeight="1">
      <c r="P644" s="134"/>
    </row>
    <row r="645" spans="16:16" ht="12.75" customHeight="1">
      <c r="P645" s="134"/>
    </row>
    <row r="646" spans="16:16" ht="12.75" customHeight="1">
      <c r="P646" s="134"/>
    </row>
    <row r="647" spans="16:16" ht="12.75" customHeight="1">
      <c r="P647" s="134"/>
    </row>
    <row r="648" spans="16:16" ht="12.75" customHeight="1">
      <c r="P648" s="134"/>
    </row>
    <row r="649" spans="16:16" ht="12.75" customHeight="1">
      <c r="P649" s="134"/>
    </row>
    <row r="650" spans="16:16" ht="12.75" customHeight="1">
      <c r="P650" s="134"/>
    </row>
    <row r="651" spans="16:16" ht="12.75" customHeight="1">
      <c r="P651" s="134"/>
    </row>
    <row r="652" spans="16:16" ht="12.75" customHeight="1">
      <c r="P652" s="134"/>
    </row>
    <row r="653" spans="16:16" ht="12.75" customHeight="1">
      <c r="P653" s="134"/>
    </row>
    <row r="654" spans="16:16" ht="12.75" customHeight="1">
      <c r="P654" s="134"/>
    </row>
    <row r="655" spans="16:16" ht="12.75" customHeight="1">
      <c r="P655" s="134"/>
    </row>
    <row r="656" spans="16:16" ht="12.75" customHeight="1">
      <c r="P656" s="134"/>
    </row>
    <row r="657" spans="16:16" ht="12.75" customHeight="1">
      <c r="P657" s="134"/>
    </row>
    <row r="658" spans="16:16" ht="12.75" customHeight="1">
      <c r="P658" s="134"/>
    </row>
    <row r="659" spans="16:16" ht="12.75" customHeight="1">
      <c r="P659" s="134"/>
    </row>
    <row r="660" spans="16:16" ht="12.75" customHeight="1">
      <c r="P660" s="134"/>
    </row>
    <row r="661" spans="16:16" ht="12.75" customHeight="1">
      <c r="P661" s="134"/>
    </row>
    <row r="662" spans="16:16" ht="12.75" customHeight="1">
      <c r="P662" s="134"/>
    </row>
    <row r="663" spans="16:16" ht="12.75" customHeight="1">
      <c r="P663" s="134"/>
    </row>
    <row r="664" spans="16:16" ht="12.75" customHeight="1">
      <c r="P664" s="134"/>
    </row>
    <row r="665" spans="16:16" ht="12.75" customHeight="1">
      <c r="P665" s="134"/>
    </row>
    <row r="666" spans="16:16" ht="12.75" customHeight="1">
      <c r="P666" s="134"/>
    </row>
    <row r="667" spans="16:16" ht="12.75" customHeight="1">
      <c r="P667" s="134"/>
    </row>
    <row r="668" spans="16:16" ht="12.75" customHeight="1">
      <c r="P668" s="134"/>
    </row>
    <row r="669" spans="16:16" ht="12.75" customHeight="1">
      <c r="P669" s="134"/>
    </row>
    <row r="670" spans="16:16" ht="12.75" customHeight="1">
      <c r="P670" s="134"/>
    </row>
    <row r="671" spans="16:16" ht="12.75" customHeight="1">
      <c r="P671" s="134"/>
    </row>
    <row r="672" spans="16:16" ht="12.75" customHeight="1">
      <c r="P672" s="134"/>
    </row>
    <row r="673" spans="16:16" ht="12.75" customHeight="1">
      <c r="P673" s="134"/>
    </row>
    <row r="674" spans="16:16" ht="12.75" customHeight="1">
      <c r="P674" s="134"/>
    </row>
    <row r="675" spans="16:16" ht="12.75" customHeight="1">
      <c r="P675" s="134"/>
    </row>
    <row r="676" spans="16:16" ht="12.75" customHeight="1">
      <c r="P676" s="134"/>
    </row>
    <row r="677" spans="16:16" ht="12.75" customHeight="1">
      <c r="P677" s="134"/>
    </row>
    <row r="678" spans="16:16" ht="12.75" customHeight="1">
      <c r="P678" s="134"/>
    </row>
    <row r="679" spans="16:16" ht="12.75" customHeight="1">
      <c r="P679" s="134"/>
    </row>
    <row r="680" spans="16:16" ht="12.75" customHeight="1">
      <c r="P680" s="134"/>
    </row>
    <row r="681" spans="16:16" ht="12.75" customHeight="1">
      <c r="P681" s="134"/>
    </row>
    <row r="682" spans="16:16" ht="12.75" customHeight="1">
      <c r="P682" s="134"/>
    </row>
    <row r="683" spans="16:16" ht="12.75" customHeight="1">
      <c r="P683" s="134"/>
    </row>
    <row r="684" spans="16:16" ht="12.75" customHeight="1">
      <c r="P684" s="134"/>
    </row>
    <row r="685" spans="16:16" ht="12.75" customHeight="1">
      <c r="P685" s="134"/>
    </row>
    <row r="686" spans="16:16" ht="12.75" customHeight="1">
      <c r="P686" s="134"/>
    </row>
    <row r="687" spans="16:16" ht="12.75" customHeight="1">
      <c r="P687" s="134"/>
    </row>
    <row r="688" spans="16:16" ht="12.75" customHeight="1">
      <c r="P688" s="134"/>
    </row>
    <row r="689" spans="16:16" ht="12.75" customHeight="1">
      <c r="P689" s="134"/>
    </row>
    <row r="690" spans="16:16" ht="12.75" customHeight="1">
      <c r="P690" s="134"/>
    </row>
    <row r="691" spans="16:16" ht="12.75" customHeight="1">
      <c r="P691" s="134"/>
    </row>
    <row r="692" spans="16:16" ht="12.75" customHeight="1">
      <c r="P692" s="134"/>
    </row>
    <row r="693" spans="16:16" ht="12.75" customHeight="1">
      <c r="P693" s="134"/>
    </row>
    <row r="694" spans="16:16" ht="12.75" customHeight="1">
      <c r="P694" s="134"/>
    </row>
    <row r="695" spans="16:16" ht="12.75" customHeight="1">
      <c r="P695" s="134"/>
    </row>
    <row r="696" spans="16:16" ht="12.75" customHeight="1">
      <c r="P696" s="134"/>
    </row>
    <row r="697" spans="16:16" ht="12.75" customHeight="1">
      <c r="P697" s="134"/>
    </row>
    <row r="698" spans="16:16" ht="12.75" customHeight="1">
      <c r="P698" s="134"/>
    </row>
    <row r="699" spans="16:16" ht="12.75" customHeight="1">
      <c r="P699" s="134"/>
    </row>
    <row r="700" spans="16:16" ht="12.75" customHeight="1">
      <c r="P700" s="134"/>
    </row>
    <row r="701" spans="16:16" ht="12.75" customHeight="1">
      <c r="P701" s="134"/>
    </row>
    <row r="702" spans="16:16" ht="12.75" customHeight="1">
      <c r="P702" s="134"/>
    </row>
    <row r="703" spans="16:16" ht="12.75" customHeight="1">
      <c r="P703" s="134"/>
    </row>
    <row r="704" spans="16:16" ht="12.75" customHeight="1">
      <c r="P704" s="134"/>
    </row>
    <row r="705" spans="16:16" ht="12.75" customHeight="1">
      <c r="P705" s="134"/>
    </row>
    <row r="706" spans="16:16" ht="12.75" customHeight="1">
      <c r="P706" s="134"/>
    </row>
    <row r="707" spans="16:16" ht="12.75" customHeight="1">
      <c r="P707" s="134"/>
    </row>
    <row r="708" spans="16:16" ht="12.75" customHeight="1">
      <c r="P708" s="134"/>
    </row>
    <row r="709" spans="16:16" ht="12.75" customHeight="1">
      <c r="P709" s="134"/>
    </row>
    <row r="710" spans="16:16" ht="12.75" customHeight="1">
      <c r="P710" s="134"/>
    </row>
    <row r="711" spans="16:16" ht="12.75" customHeight="1">
      <c r="P711" s="134"/>
    </row>
    <row r="712" spans="16:16" ht="12.75" customHeight="1">
      <c r="P712" s="134"/>
    </row>
    <row r="713" spans="16:16" ht="12.75" customHeight="1">
      <c r="P713" s="134"/>
    </row>
    <row r="714" spans="16:16" ht="12.75" customHeight="1">
      <c r="P714" s="134"/>
    </row>
    <row r="715" spans="16:16" ht="12.75" customHeight="1">
      <c r="P715" s="134"/>
    </row>
    <row r="716" spans="16:16" ht="12.75" customHeight="1">
      <c r="P716" s="134"/>
    </row>
    <row r="717" spans="16:16" ht="12.75" customHeight="1">
      <c r="P717" s="134"/>
    </row>
    <row r="718" spans="16:16" ht="12.75" customHeight="1">
      <c r="P718" s="134"/>
    </row>
    <row r="719" spans="16:16" ht="12.75" customHeight="1">
      <c r="P719" s="134"/>
    </row>
    <row r="720" spans="16:16" ht="12.75" customHeight="1">
      <c r="P720" s="134"/>
    </row>
    <row r="721" spans="16:16" ht="12.75" customHeight="1">
      <c r="P721" s="134"/>
    </row>
    <row r="722" spans="16:16" ht="12.75" customHeight="1">
      <c r="P722" s="134"/>
    </row>
    <row r="723" spans="16:16" ht="12.75" customHeight="1">
      <c r="P723" s="134"/>
    </row>
    <row r="724" spans="16:16" ht="12.75" customHeight="1">
      <c r="P724" s="134"/>
    </row>
    <row r="725" spans="16:16" ht="12.75" customHeight="1">
      <c r="P725" s="134"/>
    </row>
    <row r="726" spans="16:16" ht="12.75" customHeight="1">
      <c r="P726" s="134"/>
    </row>
    <row r="727" spans="16:16" ht="12.75" customHeight="1">
      <c r="P727" s="134"/>
    </row>
    <row r="728" spans="16:16" ht="12.75" customHeight="1">
      <c r="P728" s="134"/>
    </row>
    <row r="729" spans="16:16" ht="12.75" customHeight="1">
      <c r="P729" s="134"/>
    </row>
    <row r="730" spans="16:16" ht="12.75" customHeight="1">
      <c r="P730" s="134"/>
    </row>
    <row r="731" spans="16:16" ht="12.75" customHeight="1">
      <c r="P731" s="134"/>
    </row>
    <row r="732" spans="16:16" ht="12.75" customHeight="1">
      <c r="P732" s="134"/>
    </row>
    <row r="733" spans="16:16" ht="12.75" customHeight="1">
      <c r="P733" s="134"/>
    </row>
    <row r="734" spans="16:16" ht="12.75" customHeight="1">
      <c r="P734" s="134"/>
    </row>
    <row r="735" spans="16:16" ht="12.75" customHeight="1">
      <c r="P735" s="134"/>
    </row>
    <row r="736" spans="16:16" ht="12.75" customHeight="1">
      <c r="P736" s="134"/>
    </row>
    <row r="737" spans="16:16" ht="12.75" customHeight="1">
      <c r="P737" s="134"/>
    </row>
    <row r="738" spans="16:16" ht="12.75" customHeight="1">
      <c r="P738" s="134"/>
    </row>
    <row r="739" spans="16:16" ht="12.75" customHeight="1">
      <c r="P739" s="134"/>
    </row>
    <row r="740" spans="16:16" ht="12.75" customHeight="1">
      <c r="P740" s="134"/>
    </row>
    <row r="741" spans="16:16" ht="12.75" customHeight="1">
      <c r="P741" s="134"/>
    </row>
    <row r="742" spans="16:16" ht="12.75" customHeight="1">
      <c r="P742" s="134"/>
    </row>
    <row r="743" spans="16:16" ht="12.75" customHeight="1">
      <c r="P743" s="134"/>
    </row>
    <row r="744" spans="16:16" ht="12.75" customHeight="1">
      <c r="P744" s="134"/>
    </row>
    <row r="745" spans="16:16" ht="12.75" customHeight="1">
      <c r="P745" s="134"/>
    </row>
    <row r="746" spans="16:16" ht="12.75" customHeight="1">
      <c r="P746" s="134"/>
    </row>
    <row r="747" spans="16:16" ht="12.75" customHeight="1">
      <c r="P747" s="134"/>
    </row>
    <row r="748" spans="16:16" ht="12.75" customHeight="1">
      <c r="P748" s="134"/>
    </row>
    <row r="749" spans="16:16" ht="12.75" customHeight="1">
      <c r="P749" s="134"/>
    </row>
    <row r="750" spans="16:16" ht="12.75" customHeight="1">
      <c r="P750" s="134"/>
    </row>
    <row r="751" spans="16:16" ht="12.75" customHeight="1">
      <c r="P751" s="134"/>
    </row>
    <row r="752" spans="16:16" ht="12.75" customHeight="1">
      <c r="P752" s="134"/>
    </row>
    <row r="753" spans="16:16" ht="12.75" customHeight="1">
      <c r="P753" s="134"/>
    </row>
    <row r="754" spans="16:16" ht="12.75" customHeight="1">
      <c r="P754" s="134"/>
    </row>
    <row r="755" spans="16:16" ht="12.75" customHeight="1">
      <c r="P755" s="134"/>
    </row>
    <row r="756" spans="16:16" ht="12.75" customHeight="1">
      <c r="P756" s="134"/>
    </row>
    <row r="757" spans="16:16" ht="12.75" customHeight="1">
      <c r="P757" s="134"/>
    </row>
    <row r="758" spans="16:16" ht="12.75" customHeight="1">
      <c r="P758" s="134"/>
    </row>
    <row r="759" spans="16:16" ht="12.75" customHeight="1">
      <c r="P759" s="134"/>
    </row>
    <row r="760" spans="16:16" ht="12.75" customHeight="1">
      <c r="P760" s="134"/>
    </row>
    <row r="761" spans="16:16" ht="12.75" customHeight="1">
      <c r="P761" s="134"/>
    </row>
    <row r="762" spans="16:16" ht="12.75" customHeight="1">
      <c r="P762" s="134"/>
    </row>
    <row r="763" spans="16:16" ht="12.75" customHeight="1">
      <c r="P763" s="134"/>
    </row>
    <row r="764" spans="16:16" ht="12.75" customHeight="1">
      <c r="P764" s="134"/>
    </row>
    <row r="765" spans="16:16" ht="12.75" customHeight="1">
      <c r="P765" s="134"/>
    </row>
    <row r="766" spans="16:16" ht="12.75" customHeight="1">
      <c r="P766" s="134"/>
    </row>
    <row r="767" spans="16:16" ht="12.75" customHeight="1">
      <c r="P767" s="134"/>
    </row>
    <row r="768" spans="16:16" ht="12.75" customHeight="1">
      <c r="P768" s="134"/>
    </row>
    <row r="769" spans="16:16" ht="12.75" customHeight="1">
      <c r="P769" s="134"/>
    </row>
    <row r="770" spans="16:16" ht="12.75" customHeight="1">
      <c r="P770" s="134"/>
    </row>
    <row r="771" spans="16:16" ht="12.75" customHeight="1">
      <c r="P771" s="134"/>
    </row>
    <row r="772" spans="16:16" ht="12.75" customHeight="1">
      <c r="P772" s="134"/>
    </row>
    <row r="773" spans="16:16" ht="12.75" customHeight="1">
      <c r="P773" s="134"/>
    </row>
    <row r="774" spans="16:16" ht="12.75" customHeight="1">
      <c r="P774" s="134"/>
    </row>
    <row r="775" spans="16:16" ht="12.75" customHeight="1">
      <c r="P775" s="134"/>
    </row>
    <row r="776" spans="16:16" ht="12.75" customHeight="1">
      <c r="P776" s="134"/>
    </row>
    <row r="777" spans="16:16" ht="12.75" customHeight="1">
      <c r="P777" s="134"/>
    </row>
    <row r="778" spans="16:16" ht="12.75" customHeight="1">
      <c r="P778" s="134"/>
    </row>
    <row r="779" spans="16:16" ht="12.75" customHeight="1">
      <c r="P779" s="134"/>
    </row>
    <row r="780" spans="16:16" ht="12.75" customHeight="1">
      <c r="P780" s="134"/>
    </row>
    <row r="781" spans="16:16" ht="12.75" customHeight="1">
      <c r="P781" s="134"/>
    </row>
    <row r="782" spans="16:16" ht="12.75" customHeight="1">
      <c r="P782" s="134"/>
    </row>
    <row r="783" spans="16:16" ht="12.75" customHeight="1">
      <c r="P783" s="134"/>
    </row>
    <row r="784" spans="16:16" ht="12.75" customHeight="1">
      <c r="P784" s="134"/>
    </row>
    <row r="785" spans="16:16" ht="12.75" customHeight="1">
      <c r="P785" s="134"/>
    </row>
    <row r="786" spans="16:16" ht="12.75" customHeight="1">
      <c r="P786" s="134"/>
    </row>
    <row r="787" spans="16:16" ht="12.75" customHeight="1">
      <c r="P787" s="134"/>
    </row>
    <row r="788" spans="16:16" ht="12.75" customHeight="1">
      <c r="P788" s="134"/>
    </row>
    <row r="789" spans="16:16" ht="12.75" customHeight="1">
      <c r="P789" s="134"/>
    </row>
    <row r="790" spans="16:16" ht="12.75" customHeight="1">
      <c r="P790" s="134"/>
    </row>
    <row r="791" spans="16:16" ht="12.75" customHeight="1">
      <c r="P791" s="134"/>
    </row>
    <row r="792" spans="16:16" ht="12.75" customHeight="1">
      <c r="P792" s="134"/>
    </row>
    <row r="793" spans="16:16" ht="12.75" customHeight="1">
      <c r="P793" s="134"/>
    </row>
    <row r="794" spans="16:16" ht="12.75" customHeight="1">
      <c r="P794" s="134"/>
    </row>
    <row r="795" spans="16:16" ht="12.75" customHeight="1">
      <c r="P795" s="134"/>
    </row>
    <row r="796" spans="16:16" ht="12.75" customHeight="1">
      <c r="P796" s="134"/>
    </row>
    <row r="797" spans="16:16" ht="12.75" customHeight="1">
      <c r="P797" s="134"/>
    </row>
    <row r="798" spans="16:16" ht="12.75" customHeight="1">
      <c r="P798" s="134"/>
    </row>
    <row r="799" spans="16:16" ht="12.75" customHeight="1">
      <c r="P799" s="134"/>
    </row>
    <row r="800" spans="16:16" ht="12.75" customHeight="1">
      <c r="P800" s="134"/>
    </row>
    <row r="801" spans="16:16" ht="12.75" customHeight="1">
      <c r="P801" s="134"/>
    </row>
    <row r="802" spans="16:16" ht="12.75" customHeight="1">
      <c r="P802" s="134"/>
    </row>
    <row r="803" spans="16:16" ht="12.75" customHeight="1">
      <c r="P803" s="134"/>
    </row>
    <row r="804" spans="16:16" ht="12.75" customHeight="1">
      <c r="P804" s="134"/>
    </row>
    <row r="805" spans="16:16" ht="12.75" customHeight="1">
      <c r="P805" s="134"/>
    </row>
    <row r="806" spans="16:16" ht="12.75" customHeight="1">
      <c r="P806" s="134"/>
    </row>
    <row r="807" spans="16:16" ht="12.75" customHeight="1">
      <c r="P807" s="134"/>
    </row>
    <row r="808" spans="16:16" ht="12.75" customHeight="1">
      <c r="P808" s="134"/>
    </row>
    <row r="809" spans="16:16" ht="12.75" customHeight="1">
      <c r="P809" s="134"/>
    </row>
    <row r="810" spans="16:16" ht="12.75" customHeight="1">
      <c r="P810" s="134"/>
    </row>
    <row r="811" spans="16:16" ht="12.75" customHeight="1">
      <c r="P811" s="134"/>
    </row>
    <row r="812" spans="16:16" ht="12.75" customHeight="1">
      <c r="P812" s="134"/>
    </row>
    <row r="813" spans="16:16" ht="12.75" customHeight="1">
      <c r="P813" s="134"/>
    </row>
    <row r="814" spans="16:16" ht="12.75" customHeight="1">
      <c r="P814" s="134"/>
    </row>
    <row r="815" spans="16:16" ht="12.75" customHeight="1">
      <c r="P815" s="134"/>
    </row>
    <row r="816" spans="16:16" ht="12.75" customHeight="1">
      <c r="P816" s="134"/>
    </row>
    <row r="817" spans="16:16" ht="12.75" customHeight="1">
      <c r="P817" s="134"/>
    </row>
    <row r="818" spans="16:16" ht="12.75" customHeight="1">
      <c r="P818" s="134"/>
    </row>
    <row r="819" spans="16:16" ht="12.75" customHeight="1">
      <c r="P819" s="134"/>
    </row>
    <row r="820" spans="16:16" ht="12.75" customHeight="1">
      <c r="P820" s="134"/>
    </row>
    <row r="821" spans="16:16" ht="12.75" customHeight="1">
      <c r="P821" s="134"/>
    </row>
    <row r="822" spans="16:16" ht="12.75" customHeight="1">
      <c r="P822" s="134"/>
    </row>
    <row r="823" spans="16:16" ht="12.75" customHeight="1">
      <c r="P823" s="134"/>
    </row>
    <row r="824" spans="16:16" ht="12.75" customHeight="1">
      <c r="P824" s="134"/>
    </row>
    <row r="825" spans="16:16" ht="12.75" customHeight="1">
      <c r="P825" s="134"/>
    </row>
    <row r="826" spans="16:16" ht="12.75" customHeight="1">
      <c r="P826" s="134"/>
    </row>
    <row r="827" spans="16:16" ht="12.75" customHeight="1">
      <c r="P827" s="134"/>
    </row>
    <row r="828" spans="16:16" ht="12.75" customHeight="1">
      <c r="P828" s="134"/>
    </row>
    <row r="829" spans="16:16" ht="12.75" customHeight="1">
      <c r="P829" s="134"/>
    </row>
    <row r="830" spans="16:16" ht="12.75" customHeight="1">
      <c r="P830" s="134"/>
    </row>
    <row r="831" spans="16:16" ht="12.75" customHeight="1">
      <c r="P831" s="134"/>
    </row>
    <row r="832" spans="16:16" ht="12.75" customHeight="1">
      <c r="P832" s="134"/>
    </row>
    <row r="833" spans="16:16" ht="12.75" customHeight="1">
      <c r="P833" s="134"/>
    </row>
    <row r="834" spans="16:16" ht="12.75" customHeight="1">
      <c r="P834" s="134"/>
    </row>
    <row r="835" spans="16:16" ht="12.75" customHeight="1">
      <c r="P835" s="134"/>
    </row>
    <row r="836" spans="16:16" ht="12.75" customHeight="1">
      <c r="P836" s="134"/>
    </row>
    <row r="837" spans="16:16" ht="12.75" customHeight="1">
      <c r="P837" s="134"/>
    </row>
    <row r="838" spans="16:16" ht="12.75" customHeight="1">
      <c r="P838" s="134"/>
    </row>
    <row r="839" spans="16:16" ht="12.75" customHeight="1">
      <c r="P839" s="134"/>
    </row>
    <row r="840" spans="16:16" ht="12.75" customHeight="1">
      <c r="P840" s="134"/>
    </row>
    <row r="841" spans="16:16" ht="12.75" customHeight="1">
      <c r="P841" s="134"/>
    </row>
    <row r="842" spans="16:16" ht="12.75" customHeight="1">
      <c r="P842" s="134"/>
    </row>
    <row r="843" spans="16:16" ht="12.75" customHeight="1">
      <c r="P843" s="134"/>
    </row>
    <row r="844" spans="16:16" ht="12.75" customHeight="1">
      <c r="P844" s="134"/>
    </row>
    <row r="845" spans="16:16" ht="12.75" customHeight="1">
      <c r="P845" s="134"/>
    </row>
    <row r="846" spans="16:16" ht="12.75" customHeight="1">
      <c r="P846" s="134"/>
    </row>
    <row r="847" spans="16:16" ht="12.75" customHeight="1">
      <c r="P847" s="134"/>
    </row>
    <row r="848" spans="16:16" ht="12.75" customHeight="1">
      <c r="P848" s="134"/>
    </row>
    <row r="849" spans="16:16" ht="12.75" customHeight="1">
      <c r="P849" s="134"/>
    </row>
    <row r="850" spans="16:16" ht="12.75" customHeight="1">
      <c r="P850" s="134"/>
    </row>
    <row r="851" spans="16:16" ht="12.75" customHeight="1">
      <c r="P851" s="134"/>
    </row>
    <row r="852" spans="16:16" ht="12.75" customHeight="1">
      <c r="P852" s="134"/>
    </row>
    <row r="853" spans="16:16" ht="12.75" customHeight="1">
      <c r="P853" s="134"/>
    </row>
    <row r="854" spans="16:16" ht="12.75" customHeight="1">
      <c r="P854" s="134"/>
    </row>
    <row r="855" spans="16:16" ht="12.75" customHeight="1">
      <c r="P855" s="134"/>
    </row>
    <row r="856" spans="16:16" ht="12.75" customHeight="1">
      <c r="P856" s="134"/>
    </row>
    <row r="857" spans="16:16" ht="12.75" customHeight="1">
      <c r="P857" s="134"/>
    </row>
    <row r="858" spans="16:16" ht="12.75" customHeight="1">
      <c r="P858" s="134"/>
    </row>
    <row r="859" spans="16:16" ht="12.75" customHeight="1">
      <c r="P859" s="134"/>
    </row>
    <row r="860" spans="16:16" ht="12.75" customHeight="1">
      <c r="P860" s="134"/>
    </row>
    <row r="861" spans="16:16" ht="12.75" customHeight="1">
      <c r="P861" s="134"/>
    </row>
    <row r="862" spans="16:16" ht="12.75" customHeight="1">
      <c r="P862" s="134"/>
    </row>
    <row r="863" spans="16:16" ht="12.75" customHeight="1">
      <c r="P863" s="134"/>
    </row>
    <row r="864" spans="16:16" ht="12.75" customHeight="1">
      <c r="P864" s="134"/>
    </row>
    <row r="865" spans="16:16" ht="12.75" customHeight="1">
      <c r="P865" s="134"/>
    </row>
    <row r="866" spans="16:16" ht="12.75" customHeight="1">
      <c r="P866" s="134"/>
    </row>
    <row r="867" spans="16:16" ht="12.75" customHeight="1">
      <c r="P867" s="134"/>
    </row>
    <row r="868" spans="16:16" ht="12.75" customHeight="1">
      <c r="P868" s="134"/>
    </row>
    <row r="869" spans="16:16" ht="12.75" customHeight="1">
      <c r="P869" s="134"/>
    </row>
    <row r="870" spans="16:16" ht="12.75" customHeight="1">
      <c r="P870" s="134"/>
    </row>
    <row r="871" spans="16:16" ht="12.75" customHeight="1">
      <c r="P871" s="134"/>
    </row>
    <row r="872" spans="16:16" ht="12.75" customHeight="1">
      <c r="P872" s="134"/>
    </row>
    <row r="873" spans="16:16" ht="12.75" customHeight="1">
      <c r="P873" s="134"/>
    </row>
    <row r="874" spans="16:16" ht="12.75" customHeight="1">
      <c r="P874" s="134"/>
    </row>
    <row r="875" spans="16:16" ht="12.75" customHeight="1">
      <c r="P875" s="134"/>
    </row>
    <row r="876" spans="16:16" ht="12.75" customHeight="1">
      <c r="P876" s="134"/>
    </row>
    <row r="877" spans="16:16" ht="12.75" customHeight="1">
      <c r="P877" s="134"/>
    </row>
    <row r="878" spans="16:16" ht="12.75" customHeight="1">
      <c r="P878" s="134"/>
    </row>
    <row r="879" spans="16:16" ht="12.75" customHeight="1">
      <c r="P879" s="134"/>
    </row>
    <row r="880" spans="16:16" ht="12.75" customHeight="1">
      <c r="P880" s="134"/>
    </row>
    <row r="881" spans="16:16" ht="12.75" customHeight="1">
      <c r="P881" s="134"/>
    </row>
    <row r="882" spans="16:16" ht="12.75" customHeight="1">
      <c r="P882" s="134"/>
    </row>
    <row r="883" spans="16:16" ht="12.75" customHeight="1">
      <c r="P883" s="134"/>
    </row>
    <row r="884" spans="16:16" ht="12.75" customHeight="1">
      <c r="P884" s="134"/>
    </row>
    <row r="885" spans="16:16" ht="12.75" customHeight="1">
      <c r="P885" s="134"/>
    </row>
    <row r="886" spans="16:16" ht="12.75" customHeight="1">
      <c r="P886" s="134"/>
    </row>
    <row r="887" spans="16:16" ht="12.75" customHeight="1">
      <c r="P887" s="134"/>
    </row>
    <row r="888" spans="16:16" ht="12.75" customHeight="1">
      <c r="P888" s="134"/>
    </row>
    <row r="889" spans="16:16" ht="12.75" customHeight="1">
      <c r="P889" s="134"/>
    </row>
    <row r="890" spans="16:16" ht="12.75" customHeight="1">
      <c r="P890" s="134"/>
    </row>
    <row r="891" spans="16:16" ht="12.75" customHeight="1">
      <c r="P891" s="134"/>
    </row>
    <row r="892" spans="16:16" ht="12.75" customHeight="1">
      <c r="P892" s="134"/>
    </row>
    <row r="893" spans="16:16" ht="12.75" customHeight="1">
      <c r="P893" s="134"/>
    </row>
    <row r="894" spans="16:16" ht="12.75" customHeight="1">
      <c r="P894" s="134"/>
    </row>
    <row r="895" spans="16:16" ht="12.75" customHeight="1">
      <c r="P895" s="134"/>
    </row>
    <row r="896" spans="16:16" ht="12.75" customHeight="1">
      <c r="P896" s="134"/>
    </row>
    <row r="897" spans="16:16" ht="12.75" customHeight="1">
      <c r="P897" s="134"/>
    </row>
    <row r="898" spans="16:16" ht="12.75" customHeight="1">
      <c r="P898" s="134"/>
    </row>
    <row r="899" spans="16:16" ht="12.75" customHeight="1">
      <c r="P899" s="134"/>
    </row>
    <row r="900" spans="16:16" ht="12.75" customHeight="1">
      <c r="P900" s="134"/>
    </row>
    <row r="901" spans="16:16" ht="12.75" customHeight="1">
      <c r="P901" s="134"/>
    </row>
    <row r="902" spans="16:16" ht="12.75" customHeight="1">
      <c r="P902" s="134"/>
    </row>
    <row r="903" spans="16:16" ht="12.75" customHeight="1">
      <c r="P903" s="134"/>
    </row>
    <row r="904" spans="16:16" ht="12.75" customHeight="1">
      <c r="P904" s="134"/>
    </row>
    <row r="905" spans="16:16" ht="12.75" customHeight="1">
      <c r="P905" s="134"/>
    </row>
    <row r="906" spans="16:16" ht="12.75" customHeight="1">
      <c r="P906" s="134"/>
    </row>
    <row r="907" spans="16:16" ht="12.75" customHeight="1">
      <c r="P907" s="134"/>
    </row>
    <row r="908" spans="16:16" ht="12.75" customHeight="1">
      <c r="P908" s="134"/>
    </row>
    <row r="909" spans="16:16" ht="12.75" customHeight="1">
      <c r="P909" s="134"/>
    </row>
    <row r="910" spans="16:16" ht="12.75" customHeight="1">
      <c r="P910" s="134"/>
    </row>
    <row r="911" spans="16:16" ht="12.75" customHeight="1">
      <c r="P911" s="134"/>
    </row>
    <row r="912" spans="16:16" ht="12.75" customHeight="1">
      <c r="P912" s="134"/>
    </row>
    <row r="913" spans="16:16" ht="12.75" customHeight="1">
      <c r="P913" s="134"/>
    </row>
    <row r="914" spans="16:16" ht="12.75" customHeight="1">
      <c r="P914" s="134"/>
    </row>
    <row r="915" spans="16:16" ht="12.75" customHeight="1">
      <c r="P915" s="134"/>
    </row>
    <row r="916" spans="16:16" ht="12.75" customHeight="1">
      <c r="P916" s="134"/>
    </row>
    <row r="917" spans="16:16" ht="12.75" customHeight="1">
      <c r="P917" s="134"/>
    </row>
    <row r="918" spans="16:16" ht="12.75" customHeight="1">
      <c r="P918" s="134"/>
    </row>
    <row r="919" spans="16:16" ht="12.75" customHeight="1">
      <c r="P919" s="134"/>
    </row>
    <row r="920" spans="16:16" ht="12.75" customHeight="1">
      <c r="P920" s="134"/>
    </row>
    <row r="921" spans="16:16" ht="12.75" customHeight="1">
      <c r="P921" s="134"/>
    </row>
    <row r="922" spans="16:16" ht="12.75" customHeight="1">
      <c r="P922" s="134"/>
    </row>
    <row r="923" spans="16:16" ht="12.75" customHeight="1">
      <c r="P923" s="134"/>
    </row>
    <row r="924" spans="16:16" ht="12.75" customHeight="1">
      <c r="P924" s="134"/>
    </row>
    <row r="925" spans="16:16" ht="12.75" customHeight="1">
      <c r="P925" s="134"/>
    </row>
    <row r="926" spans="16:16" ht="12.75" customHeight="1">
      <c r="P926" s="134"/>
    </row>
    <row r="927" spans="16:16" ht="12.75" customHeight="1">
      <c r="P927" s="134"/>
    </row>
    <row r="928" spans="16:16" ht="12.75" customHeight="1">
      <c r="P928" s="134"/>
    </row>
    <row r="929" spans="16:16" ht="12.75" customHeight="1">
      <c r="P929" s="134"/>
    </row>
    <row r="930" spans="16:16" ht="12.75" customHeight="1">
      <c r="P930" s="134"/>
    </row>
    <row r="931" spans="16:16" ht="12.75" customHeight="1">
      <c r="P931" s="134"/>
    </row>
    <row r="932" spans="16:16" ht="12.75" customHeight="1">
      <c r="P932" s="134"/>
    </row>
    <row r="933" spans="16:16" ht="12.75" customHeight="1">
      <c r="P933" s="134"/>
    </row>
    <row r="934" spans="16:16" ht="12.75" customHeight="1">
      <c r="P934" s="134"/>
    </row>
    <row r="935" spans="16:16" ht="12.75" customHeight="1">
      <c r="P935" s="134"/>
    </row>
    <row r="936" spans="16:16" ht="12.75" customHeight="1">
      <c r="P936" s="134"/>
    </row>
    <row r="937" spans="16:16" ht="12.75" customHeight="1">
      <c r="P937" s="134"/>
    </row>
    <row r="938" spans="16:16" ht="12.75" customHeight="1">
      <c r="P938" s="134"/>
    </row>
    <row r="939" spans="16:16" ht="12.75" customHeight="1">
      <c r="P939" s="134"/>
    </row>
    <row r="940" spans="16:16" ht="12.75" customHeight="1">
      <c r="P940" s="134"/>
    </row>
    <row r="941" spans="16:16" ht="12.75" customHeight="1">
      <c r="P941" s="134"/>
    </row>
    <row r="942" spans="16:16" ht="12.75" customHeight="1">
      <c r="P942" s="134"/>
    </row>
    <row r="943" spans="16:16" ht="12.75" customHeight="1">
      <c r="P943" s="134"/>
    </row>
    <row r="944" spans="16:16" ht="12.75" customHeight="1">
      <c r="P944" s="134"/>
    </row>
    <row r="945" spans="16:16" ht="12.75" customHeight="1">
      <c r="P945" s="134"/>
    </row>
    <row r="946" spans="16:16" ht="12.75" customHeight="1">
      <c r="P946" s="134"/>
    </row>
    <row r="947" spans="16:16" ht="12.75" customHeight="1">
      <c r="P947" s="134"/>
    </row>
    <row r="948" spans="16:16" ht="12.75" customHeight="1">
      <c r="P948" s="134"/>
    </row>
    <row r="949" spans="16:16" ht="12.75" customHeight="1">
      <c r="P949" s="134"/>
    </row>
    <row r="950" spans="16:16" ht="12.75" customHeight="1">
      <c r="P950" s="134"/>
    </row>
    <row r="951" spans="16:16" ht="12.75" customHeight="1">
      <c r="P951" s="134"/>
    </row>
    <row r="952" spans="16:16" ht="12.75" customHeight="1">
      <c r="P952" s="134"/>
    </row>
    <row r="953" spans="16:16" ht="12.75" customHeight="1">
      <c r="P953" s="134"/>
    </row>
    <row r="954" spans="16:16" ht="12.75" customHeight="1">
      <c r="P954" s="134"/>
    </row>
    <row r="955" spans="16:16" ht="12.75" customHeight="1">
      <c r="P955" s="134"/>
    </row>
    <row r="956" spans="16:16" ht="12.75" customHeight="1">
      <c r="P956" s="134"/>
    </row>
    <row r="957" spans="16:16" ht="12.75" customHeight="1">
      <c r="P957" s="134"/>
    </row>
    <row r="958" spans="16:16" ht="12.75" customHeight="1">
      <c r="P958" s="134"/>
    </row>
    <row r="959" spans="16:16" ht="12.75" customHeight="1">
      <c r="P959" s="134"/>
    </row>
    <row r="960" spans="16:16" ht="12.75" customHeight="1">
      <c r="P960" s="134"/>
    </row>
    <row r="961" spans="16:16" ht="12.75" customHeight="1">
      <c r="P961" s="134"/>
    </row>
    <row r="962" spans="16:16" ht="12.75" customHeight="1">
      <c r="P962" s="134"/>
    </row>
    <row r="963" spans="16:16" ht="12.75" customHeight="1">
      <c r="P963" s="134"/>
    </row>
    <row r="964" spans="16:16" ht="12.75" customHeight="1">
      <c r="P964" s="134"/>
    </row>
    <row r="965" spans="16:16" ht="12.75" customHeight="1">
      <c r="P965" s="134"/>
    </row>
    <row r="966" spans="16:16" ht="12.75" customHeight="1">
      <c r="P966" s="134"/>
    </row>
    <row r="967" spans="16:16" ht="12.75" customHeight="1">
      <c r="P967" s="134"/>
    </row>
    <row r="968" spans="16:16" ht="12.75" customHeight="1">
      <c r="P968" s="134"/>
    </row>
    <row r="969" spans="16:16" ht="12.75" customHeight="1">
      <c r="P969" s="134"/>
    </row>
    <row r="970" spans="16:16" ht="12.75" customHeight="1">
      <c r="P970" s="134"/>
    </row>
    <row r="971" spans="16:16" ht="12.75" customHeight="1">
      <c r="P971" s="134"/>
    </row>
    <row r="972" spans="16:16" ht="12.75" customHeight="1">
      <c r="P972" s="134"/>
    </row>
    <row r="973" spans="16:16" ht="12.75" customHeight="1">
      <c r="P973" s="134"/>
    </row>
    <row r="974" spans="16:16" ht="12.75" customHeight="1">
      <c r="P974" s="134"/>
    </row>
    <row r="975" spans="16:16" ht="12.75" customHeight="1">
      <c r="P975" s="134"/>
    </row>
    <row r="976" spans="16:16" ht="12.75" customHeight="1">
      <c r="P976" s="134"/>
    </row>
    <row r="977" spans="16:16" ht="12.75" customHeight="1">
      <c r="P977" s="134"/>
    </row>
    <row r="978" spans="16:16" ht="12.75" customHeight="1">
      <c r="P978" s="134"/>
    </row>
    <row r="979" spans="16:16" ht="12.75" customHeight="1">
      <c r="P979" s="134"/>
    </row>
    <row r="980" spans="16:16" ht="12.75" customHeight="1">
      <c r="P980" s="134"/>
    </row>
    <row r="981" spans="16:16" ht="12.75" customHeight="1">
      <c r="P981" s="134"/>
    </row>
    <row r="982" spans="16:16" ht="12.75" customHeight="1">
      <c r="P982" s="134"/>
    </row>
    <row r="983" spans="16:16" ht="12.75" customHeight="1">
      <c r="P983" s="134"/>
    </row>
    <row r="984" spans="16:16" ht="12.75" customHeight="1">
      <c r="P984" s="134"/>
    </row>
    <row r="985" spans="16:16" ht="12.75" customHeight="1">
      <c r="P985" s="134"/>
    </row>
    <row r="986" spans="16:16" ht="12.75" customHeight="1">
      <c r="P986" s="134"/>
    </row>
    <row r="987" spans="16:16" ht="12.75" customHeight="1">
      <c r="P987" s="134"/>
    </row>
    <row r="988" spans="16:16" ht="12.75" customHeight="1">
      <c r="P988" s="134"/>
    </row>
    <row r="989" spans="16:16" ht="12.75" customHeight="1">
      <c r="P989" s="134"/>
    </row>
    <row r="990" spans="16:16" ht="12.75" customHeight="1">
      <c r="P990" s="134"/>
    </row>
    <row r="991" spans="16:16" ht="12.75" customHeight="1">
      <c r="P991" s="134"/>
    </row>
    <row r="992" spans="16:16" ht="12.75" customHeight="1">
      <c r="P992" s="134"/>
    </row>
    <row r="993" spans="16:16" ht="12.75" customHeight="1">
      <c r="P993" s="134"/>
    </row>
    <row r="994" spans="16:16" ht="12.75" customHeight="1">
      <c r="P994" s="134"/>
    </row>
    <row r="995" spans="16:16" ht="12.75" customHeight="1">
      <c r="P995" s="134"/>
    </row>
    <row r="996" spans="16:16" ht="12.75" customHeight="1">
      <c r="P996" s="134"/>
    </row>
    <row r="997" spans="16:16" ht="12.75" customHeight="1">
      <c r="P997" s="134"/>
    </row>
    <row r="998" spans="16:16" ht="12.75" customHeight="1">
      <c r="P998" s="134"/>
    </row>
    <row r="999" spans="16:16" ht="12.75" customHeight="1">
      <c r="P999" s="134"/>
    </row>
    <row r="1000" spans="16:16" ht="12.75" customHeight="1">
      <c r="P1000" s="134"/>
    </row>
  </sheetData>
  <mergeCells count="3">
    <mergeCell ref="E2:G2"/>
    <mergeCell ref="B3:C3"/>
    <mergeCell ref="E3:G3"/>
  </mergeCells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1"/>
  <sheetViews>
    <sheetView showGridLines="0" topLeftCell="A16" zoomScaleNormal="100" workbookViewId="0">
      <selection activeCell="D26" sqref="D26:F26"/>
    </sheetView>
  </sheetViews>
  <sheetFormatPr defaultColWidth="12.5703125" defaultRowHeight="15"/>
  <cols>
    <col min="1" max="1" width="46.85546875" customWidth="1"/>
    <col min="2" max="2" width="19.42578125" customWidth="1"/>
    <col min="3" max="3" width="2.5703125" customWidth="1"/>
    <col min="4" max="4" width="12.28515625" customWidth="1"/>
    <col min="5" max="5" width="10.140625" customWidth="1"/>
    <col min="6" max="6" width="10.28515625" customWidth="1"/>
    <col min="7" max="26" width="8.5703125" customWidth="1"/>
  </cols>
  <sheetData>
    <row r="1" spans="1:6" ht="12.75" customHeight="1">
      <c r="A1" s="98" t="s">
        <v>106</v>
      </c>
      <c r="B1" s="1"/>
      <c r="C1" s="1"/>
      <c r="D1" s="1"/>
    </row>
    <row r="2" spans="1:6" ht="12.75" customHeight="1">
      <c r="A2" s="98"/>
      <c r="B2" s="1"/>
      <c r="C2" s="1"/>
      <c r="D2" s="486" t="s">
        <v>53</v>
      </c>
      <c r="E2" s="486"/>
      <c r="F2" s="486"/>
    </row>
    <row r="3" spans="1:6" ht="33.75" customHeight="1">
      <c r="A3" s="161" t="s">
        <v>107</v>
      </c>
      <c r="B3" s="162" t="s">
        <v>108</v>
      </c>
      <c r="C3" s="161"/>
      <c r="D3" s="486" t="s">
        <v>55</v>
      </c>
      <c r="E3" s="486"/>
      <c r="F3" s="486"/>
    </row>
    <row r="4" spans="1:6" ht="12.75" customHeight="1">
      <c r="A4" s="161" t="s">
        <v>77</v>
      </c>
      <c r="B4" s="163">
        <v>2015</v>
      </c>
      <c r="C4" s="161"/>
      <c r="D4" s="100">
        <v>2016</v>
      </c>
      <c r="E4" s="100">
        <v>2017</v>
      </c>
      <c r="F4" s="100">
        <v>2018</v>
      </c>
    </row>
    <row r="5" spans="1:6" ht="14.25" customHeight="1">
      <c r="A5" s="107" t="s">
        <v>109</v>
      </c>
      <c r="B5" s="164"/>
      <c r="C5" s="165"/>
    </row>
    <row r="6" spans="1:6" ht="14.25" customHeight="1">
      <c r="A6" s="440" t="s">
        <v>70</v>
      </c>
      <c r="B6" s="428">
        <f>'Ex 1 Income Statement'!D17</f>
        <v>-115.752846663778</v>
      </c>
      <c r="C6" s="429"/>
      <c r="D6" s="428">
        <f ca="1">'Ex 1 Income Statement'!F17</f>
        <v>-19.490211415039767</v>
      </c>
      <c r="E6" s="428">
        <f ca="1">'Ex 1 Income Statement'!G17</f>
        <v>26.415730620479039</v>
      </c>
      <c r="F6" s="428">
        <f ca="1">'Ex 1 Income Statement'!H17</f>
        <v>-143.66014242238938</v>
      </c>
    </row>
    <row r="7" spans="1:6" ht="14.25" customHeight="1">
      <c r="A7" s="107" t="s">
        <v>110</v>
      </c>
      <c r="B7" s="430"/>
      <c r="C7" s="431"/>
      <c r="D7" s="431"/>
      <c r="E7" s="432"/>
      <c r="F7" s="432"/>
    </row>
    <row r="8" spans="1:6" ht="14.25" customHeight="1">
      <c r="A8" s="440" t="s">
        <v>111</v>
      </c>
      <c r="B8" s="430">
        <f>'Ex 1 Income Statement'!D21</f>
        <v>260.33879039999999</v>
      </c>
      <c r="C8" s="431"/>
      <c r="D8" s="430">
        <f ca="1">Feeder!I63</f>
        <v>258.29766738948115</v>
      </c>
      <c r="E8" s="430">
        <f ca="1">Feeder!J63</f>
        <v>258.29766738948115</v>
      </c>
      <c r="F8" s="430">
        <f ca="1">Feeder!K63</f>
        <v>258.29766738948115</v>
      </c>
    </row>
    <row r="9" spans="1:6" ht="14.25" customHeight="1">
      <c r="A9" s="440" t="s">
        <v>62</v>
      </c>
      <c r="B9" s="430">
        <f>'Ex 1 Income Statement'!D10</f>
        <v>25.1466046810372</v>
      </c>
      <c r="C9" s="431"/>
      <c r="D9" s="430">
        <f ca="1">Feeder!I53</f>
        <v>30.492180825600002</v>
      </c>
      <c r="E9" s="430">
        <f ca="1">Feeder!J53</f>
        <v>33.554415847680005</v>
      </c>
      <c r="F9" s="430">
        <f ca="1">Feeder!K53</f>
        <v>34.987483261785599</v>
      </c>
    </row>
    <row r="10" spans="1:6" ht="14.25" customHeight="1">
      <c r="A10" s="440" t="s">
        <v>112</v>
      </c>
      <c r="B10" s="430"/>
      <c r="C10" s="431"/>
      <c r="D10" s="430"/>
      <c r="E10" s="433"/>
      <c r="F10" s="433"/>
    </row>
    <row r="11" spans="1:6" ht="14.25" customHeight="1">
      <c r="A11" s="107" t="s">
        <v>113</v>
      </c>
      <c r="B11" s="430"/>
      <c r="C11" s="431"/>
      <c r="D11" s="430"/>
      <c r="E11" s="433"/>
      <c r="F11" s="433"/>
    </row>
    <row r="12" spans="1:6" ht="14.25" customHeight="1">
      <c r="A12" s="440" t="s">
        <v>114</v>
      </c>
      <c r="B12" s="430">
        <f>-('Ex 2 Balance Sheet'!C7-'Ex 2 Balance Sheet'!B7)</f>
        <v>67.87301723042799</v>
      </c>
      <c r="C12" s="431"/>
      <c r="D12" s="430">
        <f ca="1">-('Ex 2 Balance Sheet'!E7-'Ex 2 Balance Sheet'!C7)</f>
        <v>50.438599220711922</v>
      </c>
      <c r="E12" s="430">
        <f ca="1">-('Ex 2 Balance Sheet'!F7-'Ex 2 Balance Sheet'!E7)</f>
        <v>-88.930660915199951</v>
      </c>
      <c r="F12" s="430">
        <f ca="1">-('Ex 2 Balance Sheet'!G7-'Ex 2 Balance Sheet'!F7)</f>
        <v>-41.617848190463974</v>
      </c>
    </row>
    <row r="13" spans="1:6" ht="14.25" customHeight="1">
      <c r="A13" s="440" t="s">
        <v>115</v>
      </c>
      <c r="B13" s="430">
        <f>-('Ex 2 Balance Sheet'!C8-'Ex 2 Balance Sheet'!B8)</f>
        <v>-4.9493029048999233</v>
      </c>
      <c r="C13" s="431"/>
      <c r="D13" s="430">
        <f ca="1">-('Ex 2 Balance Sheet'!E8-'Ex 2 Balance Sheet'!C8)</f>
        <v>42.28804043185005</v>
      </c>
      <c r="E13" s="430">
        <f ca="1">-('Ex 2 Balance Sheet'!F8-'Ex 2 Balance Sheet'!E8)</f>
        <v>-102.71827458048006</v>
      </c>
      <c r="F13" s="430">
        <f ca="1">-('Ex 2 Balance Sheet'!G8-'Ex 2 Balance Sheet'!F8)</f>
        <v>-43.529316216422558</v>
      </c>
    </row>
    <row r="14" spans="1:6" ht="14.25" customHeight="1">
      <c r="A14" s="440" t="s">
        <v>116</v>
      </c>
      <c r="B14" s="430">
        <f>('Ex 2 Balance Sheet'!C25-'Ex 2 Balance Sheet'!B25)</f>
        <v>-67.128156393720019</v>
      </c>
      <c r="C14" s="431"/>
      <c r="D14" s="434">
        <f ca="1">'Ex 2 Balance Sheet'!E25-'Ex 2 Balance Sheet'!C25</f>
        <v>-54.882719769299911</v>
      </c>
      <c r="E14" s="435">
        <f ca="1">'Ex 2 Balance Sheet'!F25-'Ex 2 Balance Sheet'!E25</f>
        <v>59.063007883775981</v>
      </c>
      <c r="F14" s="435">
        <f ca="1">'Ex 2 Balance Sheet'!G25-'Ex 2 Balance Sheet'!F25</f>
        <v>25.029356824442857</v>
      </c>
    </row>
    <row r="15" spans="1:6" ht="14.25" customHeight="1">
      <c r="A15" s="440" t="s">
        <v>84</v>
      </c>
      <c r="B15" s="430">
        <f>-('Ex 2 Balance Sheet'!C9-'Ex 2 Balance Sheet'!B9)</f>
        <v>-0.34988748892170207</v>
      </c>
      <c r="C15" s="431"/>
      <c r="D15" s="430">
        <v>0</v>
      </c>
      <c r="E15" s="430">
        <v>0</v>
      </c>
      <c r="F15" s="430">
        <v>0</v>
      </c>
    </row>
    <row r="16" spans="1:6" ht="14.25" customHeight="1">
      <c r="A16" s="440" t="s">
        <v>117</v>
      </c>
      <c r="B16" s="430">
        <f>-('Ex 2 Balance Sheet'!C10-'Ex 2 Balance Sheet'!B10)</f>
        <v>-11.955274240000023</v>
      </c>
      <c r="C16" s="431"/>
      <c r="D16" s="430">
        <v>0</v>
      </c>
      <c r="E16" s="430">
        <v>0</v>
      </c>
      <c r="F16" s="430">
        <v>0</v>
      </c>
    </row>
    <row r="17" spans="1:6" ht="14.25" customHeight="1">
      <c r="A17" s="107" t="s">
        <v>118</v>
      </c>
      <c r="B17" s="428">
        <f>SUM(B12:B16)</f>
        <v>-16.509603797113677</v>
      </c>
      <c r="C17" s="428"/>
      <c r="D17" s="428">
        <f ca="1">SUM(D12:D16)</f>
        <v>37.84391988326206</v>
      </c>
      <c r="E17" s="428">
        <f ca="1">SUM(E12:E16)</f>
        <v>-132.58592761190403</v>
      </c>
      <c r="F17" s="428">
        <f ca="1">SUM(F12:F16)</f>
        <v>-60.117807582443675</v>
      </c>
    </row>
    <row r="18" spans="1:6" ht="14.25" customHeight="1">
      <c r="A18" s="441" t="s">
        <v>119</v>
      </c>
      <c r="B18" s="442">
        <f>B17+SUM(B6:B9)</f>
        <v>153.22294462014551</v>
      </c>
      <c r="C18" s="442"/>
      <c r="D18" s="442">
        <f ca="1">D17+SUM(D6:D9)</f>
        <v>307.14355668330347</v>
      </c>
      <c r="E18" s="442">
        <f ca="1">E17+SUM(E6:E9)</f>
        <v>185.68188624573617</v>
      </c>
      <c r="F18" s="442">
        <f ca="1">F17+SUM(F6:F9)</f>
        <v>89.507200646433688</v>
      </c>
    </row>
    <row r="19" spans="1:6" ht="14.25" customHeight="1">
      <c r="A19" s="107"/>
      <c r="B19" s="428"/>
      <c r="C19" s="431"/>
      <c r="D19" s="431"/>
      <c r="E19" s="432"/>
      <c r="F19" s="432"/>
    </row>
    <row r="20" spans="1:6" ht="14.25" customHeight="1">
      <c r="A20" s="107" t="s">
        <v>120</v>
      </c>
      <c r="B20" s="430"/>
      <c r="C20" s="431"/>
      <c r="D20" s="431"/>
      <c r="E20" s="432"/>
      <c r="F20" s="432"/>
    </row>
    <row r="21" spans="1:6" ht="14.25" customHeight="1">
      <c r="A21" s="440" t="s">
        <v>121</v>
      </c>
      <c r="B21" s="430">
        <f>'Ex 1 Income Statement'!D20</f>
        <v>-273.35572991999999</v>
      </c>
      <c r="C21" s="430"/>
      <c r="D21" s="430">
        <f ca="1">-'Ex 1 Income Statement'!F20</f>
        <v>-250</v>
      </c>
      <c r="E21" s="430">
        <f ca="1">-'Ex 1 Income Statement'!G20</f>
        <v>-700</v>
      </c>
      <c r="F21" s="430">
        <f ca="1">-'Ex 1 Income Statement'!H20</f>
        <v>-350</v>
      </c>
    </row>
    <row r="22" spans="1:6" ht="14.25" customHeight="1">
      <c r="A22" s="440" t="s">
        <v>122</v>
      </c>
      <c r="B22" s="430">
        <f>-('Ex 2 Balance Sheet'!C18-'Ex 2 Balance Sheet'!B18)</f>
        <v>-3.6241181041330037</v>
      </c>
      <c r="C22" s="431"/>
      <c r="D22" s="430">
        <v>0</v>
      </c>
      <c r="E22" s="430">
        <v>0</v>
      </c>
      <c r="F22" s="430">
        <v>0</v>
      </c>
    </row>
    <row r="23" spans="1:6" ht="14.25" customHeight="1">
      <c r="A23" s="441" t="s">
        <v>123</v>
      </c>
      <c r="B23" s="442">
        <f>SUM(B21:B22)</f>
        <v>-276.97984802413299</v>
      </c>
      <c r="C23" s="442"/>
      <c r="D23" s="442">
        <f ca="1">SUM(D21:D22)</f>
        <v>-250</v>
      </c>
      <c r="E23" s="442">
        <f ca="1">SUM(E21:E22)</f>
        <v>-700</v>
      </c>
      <c r="F23" s="442">
        <f ca="1">SUM(F21:F22)</f>
        <v>-350</v>
      </c>
    </row>
    <row r="24" spans="1:6" ht="14.25" customHeight="1">
      <c r="A24" s="107"/>
      <c r="B24" s="428"/>
      <c r="C24" s="431"/>
      <c r="D24" s="431"/>
      <c r="E24" s="432"/>
      <c r="F24" s="432"/>
    </row>
    <row r="25" spans="1:6" ht="14.25" customHeight="1">
      <c r="A25" s="107" t="s">
        <v>124</v>
      </c>
      <c r="B25" s="430"/>
      <c r="C25" s="431"/>
      <c r="D25" s="431"/>
      <c r="E25" s="432"/>
      <c r="F25" s="432"/>
    </row>
    <row r="26" spans="1:6" ht="14.25" customHeight="1">
      <c r="A26" s="440" t="s">
        <v>125</v>
      </c>
      <c r="B26" s="430"/>
      <c r="C26" s="431"/>
      <c r="D26" s="430">
        <f ca="1">'Pro-Forma Cap Table'!C72</f>
        <v>-122.13524484824148</v>
      </c>
      <c r="E26" s="430">
        <f ca="1">'Pro-Forma Cap Table'!D72</f>
        <v>523.31811375426378</v>
      </c>
      <c r="F26" s="430">
        <f ca="1">'Pro-Forma Cap Table'!E72</f>
        <v>4.6171310939777186</v>
      </c>
    </row>
    <row r="27" spans="1:6" ht="14.25" customHeight="1">
      <c r="A27" s="440" t="s">
        <v>126</v>
      </c>
      <c r="B27" s="436">
        <f>('Ex 2 Balance Sheet'!C27-'Ex 2 Balance Sheet'!B27)</f>
        <v>-9</v>
      </c>
      <c r="C27" s="437"/>
      <c r="D27" s="436">
        <f>-'Ex 2 Balance Sheet'!E22</f>
        <v>-9</v>
      </c>
      <c r="E27" s="436">
        <f>-'Ex 2 Balance Sheet'!F22</f>
        <v>-9</v>
      </c>
      <c r="F27" s="436">
        <f>-'Ex 2 Balance Sheet'!G22</f>
        <v>-9</v>
      </c>
    </row>
    <row r="28" spans="1:6" ht="14.25" customHeight="1">
      <c r="A28" s="440" t="s">
        <v>127</v>
      </c>
      <c r="B28" s="436"/>
      <c r="C28" s="437"/>
      <c r="D28" s="436"/>
      <c r="E28" s="438"/>
      <c r="F28" s="438"/>
    </row>
    <row r="29" spans="1:6" ht="14.25" customHeight="1">
      <c r="A29" s="440" t="s">
        <v>128</v>
      </c>
      <c r="B29" s="436">
        <f>('Ex 2 Balance Sheet'!C28-'Ex 2 Balance Sheet'!B28)</f>
        <v>23.195078400000057</v>
      </c>
      <c r="C29" s="437"/>
      <c r="D29" s="436">
        <f>('Ex 2 Balance Sheet'!E28-'Ex 2 Balance Sheet'!C28)</f>
        <v>0</v>
      </c>
      <c r="E29" s="436">
        <f>('Ex 2 Balance Sheet'!F28-'Ex 2 Balance Sheet'!E28)</f>
        <v>0</v>
      </c>
      <c r="F29" s="436">
        <f>('Ex 2 Balance Sheet'!G28-'Ex 2 Balance Sheet'!F28)</f>
        <v>0</v>
      </c>
    </row>
    <row r="30" spans="1:6" ht="14.25" customHeight="1">
      <c r="A30" s="440" t="s">
        <v>84</v>
      </c>
      <c r="B30" s="436">
        <f>('Ex 2 Balance Sheet'!C29-'Ex 2 Balance Sheet'!B29)</f>
        <v>0.34619519999998261</v>
      </c>
      <c r="C30" s="437"/>
      <c r="D30" s="436">
        <f>('Ex 2 Balance Sheet'!E29-'Ex 2 Balance Sheet'!C29)</f>
        <v>0</v>
      </c>
      <c r="E30" s="436">
        <f>('Ex 2 Balance Sheet'!F29-'Ex 2 Balance Sheet'!E29)</f>
        <v>0</v>
      </c>
      <c r="F30" s="436">
        <f>('Ex 2 Balance Sheet'!G29-'Ex 2 Balance Sheet'!F29)</f>
        <v>0</v>
      </c>
    </row>
    <row r="31" spans="1:6" ht="14.25" customHeight="1">
      <c r="A31" s="440" t="s">
        <v>129</v>
      </c>
      <c r="B31" s="436">
        <v>0</v>
      </c>
      <c r="C31" s="437"/>
      <c r="D31" s="436">
        <v>0</v>
      </c>
      <c r="E31" s="436">
        <v>0</v>
      </c>
      <c r="F31" s="436">
        <v>0</v>
      </c>
    </row>
    <row r="32" spans="1:6" ht="14.25" customHeight="1">
      <c r="A32" s="440" t="s">
        <v>130</v>
      </c>
      <c r="B32" s="436">
        <v>0</v>
      </c>
      <c r="C32" s="437"/>
      <c r="D32" s="436">
        <f>('Ex 2 Balance Sheet'!E31-'Ex 2 Balance Sheet'!C31)</f>
        <v>0</v>
      </c>
      <c r="E32" s="436">
        <f>('Ex 2 Balance Sheet'!F31-'Ex 2 Balance Sheet'!E31)</f>
        <v>0</v>
      </c>
      <c r="F32" s="436">
        <f>('Ex 2 Balance Sheet'!G31-'Ex 2 Balance Sheet'!F31)</f>
        <v>0</v>
      </c>
    </row>
    <row r="33" spans="1:6" ht="14.25" customHeight="1">
      <c r="A33" s="440" t="s">
        <v>131</v>
      </c>
      <c r="B33" s="436">
        <f>('Ex 2 Balance Sheet'!C31-'Ex 2 Balance Sheet'!B31)</f>
        <v>35.688679102609967</v>
      </c>
      <c r="C33" s="437"/>
      <c r="D33" s="436">
        <v>0</v>
      </c>
      <c r="E33" s="438">
        <v>0</v>
      </c>
      <c r="F33" s="438">
        <v>0</v>
      </c>
    </row>
    <row r="34" spans="1:6" ht="14.25" customHeight="1">
      <c r="A34" s="440" t="s">
        <v>132</v>
      </c>
      <c r="B34" s="436"/>
      <c r="C34" s="437"/>
      <c r="D34" s="436"/>
      <c r="E34" s="438"/>
      <c r="F34" s="438"/>
    </row>
    <row r="35" spans="1:6" ht="14.25" customHeight="1">
      <c r="A35" s="441" t="s">
        <v>133</v>
      </c>
      <c r="B35" s="443">
        <f>SUM(B26:B33)</f>
        <v>50.229952702610007</v>
      </c>
      <c r="C35" s="444"/>
      <c r="D35" s="443">
        <f ca="1">SUM(D26:D33)</f>
        <v>-131.13524484824148</v>
      </c>
      <c r="E35" s="443">
        <f ca="1">SUM(E26:E33)</f>
        <v>514.31811375426378</v>
      </c>
      <c r="F35" s="443">
        <f ca="1">SUM(F26:F33)</f>
        <v>-4.3828689060222814</v>
      </c>
    </row>
    <row r="36" spans="1:6" ht="14.25" customHeight="1">
      <c r="A36" s="101"/>
      <c r="B36" s="436"/>
      <c r="C36" s="437"/>
      <c r="D36" s="436"/>
      <c r="E36" s="438"/>
      <c r="F36" s="438"/>
    </row>
    <row r="37" spans="1:6" ht="14.25" customHeight="1">
      <c r="A37" s="107" t="s">
        <v>134</v>
      </c>
      <c r="B37" s="439">
        <f>B35+B23+B18</f>
        <v>-73.526950701377473</v>
      </c>
      <c r="C37" s="437"/>
      <c r="D37" s="439">
        <f ca="1">D35+D23+D18</f>
        <v>-73.991688164938012</v>
      </c>
      <c r="E37" s="439">
        <f ca="1">E35+E23+E18</f>
        <v>0</v>
      </c>
      <c r="F37" s="439">
        <f ca="1">F35+F23+F18</f>
        <v>-264.87566825958856</v>
      </c>
    </row>
    <row r="38" spans="1:6" ht="14.25" customHeight="1">
      <c r="A38" s="440" t="s">
        <v>135</v>
      </c>
      <c r="B38" s="436">
        <f>'Ex 2 Balance Sheet'!B6</f>
        <v>338.51863886632401</v>
      </c>
      <c r="C38" s="437"/>
      <c r="D38" s="436">
        <f>'Ex 2 Balance Sheet'!C6</f>
        <v>264.99168816493801</v>
      </c>
      <c r="E38" s="438">
        <f ca="1">D39</f>
        <v>191</v>
      </c>
      <c r="F38" s="438">
        <f ca="1">E39</f>
        <v>191</v>
      </c>
    </row>
    <row r="39" spans="1:6" ht="14.25" customHeight="1">
      <c r="A39" s="440" t="s">
        <v>136</v>
      </c>
      <c r="B39" s="436">
        <f>B38+B37</f>
        <v>264.99168816494654</v>
      </c>
      <c r="C39" s="437"/>
      <c r="D39" s="436">
        <f ca="1">D38+D37</f>
        <v>191</v>
      </c>
      <c r="E39" s="436">
        <f ca="1">E38+E37</f>
        <v>191</v>
      </c>
      <c r="F39" s="436">
        <f ca="1">F38+F37</f>
        <v>-73.875668259588565</v>
      </c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2">
    <mergeCell ref="D2:F2"/>
    <mergeCell ref="D3:F3"/>
  </mergeCells>
  <pageMargins left="0.7" right="0.7" top="0.75" bottom="0.75" header="0.511811023622047" footer="0.511811023622047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945"/>
  <sheetViews>
    <sheetView showGridLines="0" topLeftCell="A58" zoomScaleNormal="100" workbookViewId="0">
      <selection activeCell="C75" sqref="C75"/>
    </sheetView>
  </sheetViews>
  <sheetFormatPr defaultColWidth="12.5703125" defaultRowHeight="15"/>
  <cols>
    <col min="1" max="1" width="1.5703125" customWidth="1"/>
    <col min="2" max="2" width="42.28515625" customWidth="1"/>
    <col min="3" max="3" width="21.28515625" customWidth="1"/>
    <col min="4" max="4" width="14.85546875" customWidth="1"/>
    <col min="5" max="5" width="16.5703125" customWidth="1"/>
    <col min="6" max="6" width="10.85546875" customWidth="1"/>
    <col min="7" max="7" width="14.5703125" customWidth="1"/>
    <col min="8" max="8" width="9.7109375" customWidth="1"/>
    <col min="9" max="9" width="10.42578125" customWidth="1"/>
    <col min="10" max="10" width="8.85546875" customWidth="1"/>
    <col min="11" max="11" width="10.140625" customWidth="1"/>
    <col min="12" max="12" width="3.140625" customWidth="1"/>
    <col min="13" max="13" width="11.28515625" customWidth="1"/>
    <col min="14" max="14" width="3.140625" customWidth="1"/>
    <col min="15" max="15" width="11.28515625" customWidth="1"/>
    <col min="16" max="16" width="2.5703125" customWidth="1"/>
    <col min="17" max="17" width="10.140625" customWidth="1"/>
    <col min="18" max="18" width="10" customWidth="1"/>
    <col min="19" max="19" width="1.5703125" customWidth="1"/>
    <col min="20" max="20" width="22.5703125" customWidth="1"/>
    <col min="21" max="25" width="10.5703125" customWidth="1"/>
    <col min="26" max="26" width="10.85546875" customWidth="1"/>
    <col min="27" max="28" width="8.85546875" customWidth="1"/>
  </cols>
  <sheetData>
    <row r="1" spans="1:28" ht="12.75" customHeight="1">
      <c r="A1" s="1"/>
      <c r="B1" s="1"/>
      <c r="C1" s="1"/>
      <c r="D1" s="1"/>
      <c r="E1" s="124"/>
      <c r="F1" s="124"/>
      <c r="G1" s="1"/>
      <c r="H1" s="1"/>
      <c r="I1" s="1"/>
      <c r="J1" s="1"/>
      <c r="K1" s="1"/>
      <c r="L1" s="1"/>
      <c r="M1" s="1"/>
      <c r="N1" s="1"/>
      <c r="O1" s="50"/>
      <c r="P1" s="50"/>
      <c r="Q1" s="1"/>
      <c r="R1" s="1"/>
      <c r="V1" s="167"/>
      <c r="W1" s="167"/>
      <c r="X1" s="167"/>
      <c r="Y1" s="167"/>
      <c r="Z1" s="167"/>
    </row>
    <row r="2" spans="1:28" ht="12.75" customHeight="1">
      <c r="A2" s="1"/>
      <c r="B2" s="133" t="s">
        <v>137</v>
      </c>
      <c r="C2" s="136"/>
      <c r="D2" s="136"/>
      <c r="E2" s="168"/>
      <c r="F2" s="168"/>
      <c r="G2" s="136"/>
      <c r="H2" s="136"/>
      <c r="I2" s="136"/>
      <c r="J2" s="136"/>
      <c r="K2" s="136"/>
      <c r="L2" s="136"/>
      <c r="M2" s="136"/>
      <c r="N2" s="136"/>
      <c r="O2" s="169"/>
      <c r="P2" s="169"/>
      <c r="Q2" s="136"/>
      <c r="R2" s="136"/>
      <c r="V2" s="167"/>
      <c r="W2" s="167"/>
      <c r="X2" s="167"/>
      <c r="Y2" s="167"/>
      <c r="Z2" s="167"/>
    </row>
    <row r="3" spans="1:28" ht="12.75" customHeight="1">
      <c r="A3" s="1"/>
      <c r="B3" s="170"/>
      <c r="C3" s="171"/>
      <c r="D3" s="171"/>
      <c r="E3" s="172"/>
      <c r="F3" s="172"/>
      <c r="G3" s="136"/>
      <c r="H3" s="173"/>
      <c r="I3" s="171"/>
      <c r="J3" s="171"/>
      <c r="K3" s="171"/>
      <c r="L3" s="171"/>
      <c r="M3" s="171"/>
      <c r="N3" s="171"/>
      <c r="O3" s="174"/>
      <c r="P3" s="174"/>
      <c r="Q3" s="171"/>
      <c r="R3" s="136"/>
      <c r="V3" s="167"/>
      <c r="W3" s="167"/>
      <c r="X3" s="167"/>
      <c r="Y3" s="167"/>
      <c r="Z3" s="167"/>
    </row>
    <row r="4" spans="1:28" ht="12.75" customHeight="1">
      <c r="A4" s="1"/>
      <c r="B4" s="175" t="s">
        <v>138</v>
      </c>
      <c r="C4" s="171"/>
      <c r="D4" s="487" t="s">
        <v>139</v>
      </c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T4" s="176"/>
      <c r="U4" s="177"/>
      <c r="V4" s="178"/>
      <c r="W4" s="178"/>
      <c r="X4" s="178"/>
      <c r="Y4" s="178"/>
      <c r="Z4" s="178"/>
    </row>
    <row r="5" spans="1:28" ht="12.75" customHeight="1">
      <c r="A5" s="1"/>
      <c r="B5" s="171" t="s">
        <v>140</v>
      </c>
      <c r="C5" s="179">
        <v>42369</v>
      </c>
      <c r="D5" s="171"/>
      <c r="E5" s="172"/>
      <c r="F5" s="172"/>
      <c r="G5" s="171"/>
      <c r="H5" s="171"/>
      <c r="I5" s="171"/>
      <c r="J5" s="171"/>
      <c r="K5" s="171"/>
      <c r="L5" s="171"/>
      <c r="M5" s="171"/>
      <c r="N5" s="171"/>
      <c r="O5" s="174"/>
      <c r="P5" s="174"/>
      <c r="Q5" s="171"/>
      <c r="R5" s="136"/>
      <c r="T5" s="180"/>
      <c r="U5" s="181"/>
      <c r="V5" s="181"/>
      <c r="W5" s="181"/>
      <c r="X5" s="181"/>
      <c r="Y5" s="182"/>
      <c r="Z5" s="182"/>
    </row>
    <row r="6" spans="1:28" ht="12.75" customHeight="1">
      <c r="A6" s="1"/>
      <c r="B6" s="171" t="s">
        <v>141</v>
      </c>
      <c r="C6" s="179">
        <v>42444</v>
      </c>
      <c r="D6" s="171"/>
      <c r="E6" s="172"/>
      <c r="F6" s="172"/>
      <c r="G6" s="171"/>
      <c r="H6" s="171"/>
      <c r="I6" s="171"/>
      <c r="J6" s="171"/>
      <c r="K6" s="171"/>
      <c r="L6" s="171"/>
      <c r="M6" s="171"/>
      <c r="N6" s="171"/>
      <c r="O6" s="174"/>
      <c r="P6" s="174"/>
      <c r="Q6" s="171"/>
      <c r="R6" s="136"/>
      <c r="T6" s="180"/>
      <c r="U6" s="183"/>
      <c r="V6" s="184"/>
      <c r="W6" s="184"/>
      <c r="X6" s="184"/>
      <c r="Y6" s="185"/>
      <c r="Z6" s="185"/>
    </row>
    <row r="7" spans="1:28" ht="12.75" customHeight="1">
      <c r="A7" s="1"/>
      <c r="B7" s="171" t="s">
        <v>142</v>
      </c>
      <c r="C7" s="186">
        <v>2.47E-2</v>
      </c>
      <c r="D7" s="171"/>
      <c r="E7" s="172"/>
      <c r="F7" s="172"/>
      <c r="G7" s="171"/>
      <c r="H7" s="171"/>
      <c r="I7" s="171"/>
      <c r="J7" s="171"/>
      <c r="K7" s="171"/>
      <c r="L7" s="171"/>
      <c r="M7" s="171"/>
      <c r="N7" s="171"/>
      <c r="O7" s="174"/>
      <c r="P7" s="174"/>
      <c r="Q7" s="171"/>
      <c r="R7" s="136"/>
      <c r="T7" s="187"/>
      <c r="U7" s="183"/>
      <c r="V7" s="184"/>
      <c r="W7" s="184"/>
      <c r="X7" s="184"/>
      <c r="Y7" s="185"/>
      <c r="Z7" s="185"/>
    </row>
    <row r="8" spans="1:28" ht="12.75" customHeight="1">
      <c r="A8" s="1"/>
      <c r="B8" s="171" t="s">
        <v>143</v>
      </c>
      <c r="C8" s="188">
        <v>494.64370176</v>
      </c>
      <c r="D8" s="171"/>
      <c r="E8" s="172"/>
      <c r="F8" s="172"/>
      <c r="G8" s="171"/>
      <c r="H8" s="189" t="s">
        <v>144</v>
      </c>
      <c r="I8" s="171"/>
      <c r="J8" s="171"/>
      <c r="K8" s="171"/>
      <c r="L8" s="171"/>
      <c r="M8" s="189" t="s">
        <v>145</v>
      </c>
      <c r="N8" s="171"/>
      <c r="O8" s="174"/>
      <c r="P8" s="174"/>
      <c r="Q8" s="171"/>
      <c r="R8" s="136"/>
      <c r="T8" s="180"/>
      <c r="U8" s="190"/>
      <c r="V8" s="190"/>
      <c r="W8" s="190"/>
      <c r="X8" s="190"/>
      <c r="Y8" s="191"/>
      <c r="Z8" s="191"/>
    </row>
    <row r="9" spans="1:28" ht="12.75" customHeight="1">
      <c r="A9" s="165"/>
      <c r="B9" s="192" t="s">
        <v>146</v>
      </c>
      <c r="C9" s="189" t="s">
        <v>147</v>
      </c>
      <c r="D9" s="189" t="s">
        <v>148</v>
      </c>
      <c r="E9" s="193" t="s">
        <v>149</v>
      </c>
      <c r="F9" s="193" t="s">
        <v>150</v>
      </c>
      <c r="G9" s="189" t="s">
        <v>151</v>
      </c>
      <c r="H9" s="189" t="s">
        <v>152</v>
      </c>
      <c r="I9" s="189" t="s">
        <v>153</v>
      </c>
      <c r="J9" s="189" t="s">
        <v>154</v>
      </c>
      <c r="K9" s="189" t="s">
        <v>155</v>
      </c>
      <c r="L9" s="189"/>
      <c r="M9" s="189" t="s">
        <v>156</v>
      </c>
      <c r="N9" s="189"/>
      <c r="O9" s="194" t="s">
        <v>157</v>
      </c>
      <c r="P9" s="194"/>
      <c r="Q9" s="189" t="s">
        <v>158</v>
      </c>
      <c r="R9" s="195" t="s">
        <v>159</v>
      </c>
      <c r="T9" s="180"/>
      <c r="U9" s="196"/>
      <c r="V9" s="196"/>
      <c r="W9" s="196"/>
      <c r="X9" s="196"/>
      <c r="Y9" s="197"/>
      <c r="Z9" s="197"/>
      <c r="AA9" s="198"/>
      <c r="AB9" s="198"/>
    </row>
    <row r="10" spans="1:28" ht="12.75" customHeight="1">
      <c r="A10" s="1"/>
      <c r="B10" s="171" t="s">
        <v>160</v>
      </c>
      <c r="C10" s="172" t="s">
        <v>161</v>
      </c>
      <c r="D10" s="172"/>
      <c r="E10" s="199">
        <v>43101</v>
      </c>
      <c r="F10" s="200">
        <v>750</v>
      </c>
      <c r="G10" s="200">
        <v>219.2</v>
      </c>
      <c r="H10" s="201"/>
      <c r="I10" s="202">
        <v>100</v>
      </c>
      <c r="J10" s="203">
        <v>4.1300000000000003E-2</v>
      </c>
      <c r="K10" s="188">
        <f>G10</f>
        <v>219.2</v>
      </c>
      <c r="L10" s="204"/>
      <c r="M10" s="204"/>
      <c r="N10" s="204"/>
      <c r="O10" s="205">
        <v>3.5000000000000003E-2</v>
      </c>
      <c r="P10" s="206" t="s">
        <v>162</v>
      </c>
      <c r="Q10" s="207">
        <f>G10*(1%+O10)</f>
        <v>9.8640000000000008</v>
      </c>
      <c r="R10" s="208"/>
      <c r="T10" s="209"/>
      <c r="U10" s="196"/>
      <c r="V10" s="196"/>
      <c r="W10" s="196"/>
      <c r="X10" s="196"/>
      <c r="Y10" s="210"/>
      <c r="Z10" s="210"/>
    </row>
    <row r="11" spans="1:28" ht="12.75" customHeight="1">
      <c r="A11" s="1"/>
      <c r="B11" s="171" t="s">
        <v>163</v>
      </c>
      <c r="C11" s="172" t="s">
        <v>161</v>
      </c>
      <c r="D11" s="172"/>
      <c r="E11" s="199">
        <v>43466</v>
      </c>
      <c r="F11" s="209">
        <v>1800</v>
      </c>
      <c r="G11" s="209">
        <v>1764</v>
      </c>
      <c r="H11" s="211">
        <f>(G11+G10)/$C$8</f>
        <v>4.0093505546387087</v>
      </c>
      <c r="I11" s="202">
        <v>95</v>
      </c>
      <c r="J11" s="212">
        <v>0.06</v>
      </c>
      <c r="K11" s="188">
        <f>I11/100*G11</f>
        <v>1675.8</v>
      </c>
      <c r="L11" s="204"/>
      <c r="M11" s="211">
        <f>(K11+K10)/$C$8</f>
        <v>3.8310403897944498</v>
      </c>
      <c r="N11" s="204"/>
      <c r="O11" s="205">
        <v>3.5000000000000003E-2</v>
      </c>
      <c r="P11" s="206" t="s">
        <v>162</v>
      </c>
      <c r="Q11" s="207">
        <f>G11*(1%+O11)</f>
        <v>79.38000000000001</v>
      </c>
      <c r="R11" s="213">
        <f>C8/(Q11+Q10)</f>
        <v>5.5425989619470206</v>
      </c>
      <c r="T11" s="209"/>
      <c r="U11" s="196"/>
      <c r="V11" s="196"/>
      <c r="W11" s="196"/>
      <c r="X11" s="196"/>
      <c r="Y11" s="210"/>
      <c r="Z11" s="210"/>
    </row>
    <row r="12" spans="1:28" ht="12.75" customHeight="1">
      <c r="A12" s="1"/>
      <c r="B12" s="171" t="s">
        <v>164</v>
      </c>
      <c r="C12" s="172" t="s">
        <v>161</v>
      </c>
      <c r="D12" s="172"/>
      <c r="E12" s="199">
        <v>43831</v>
      </c>
      <c r="F12" s="214">
        <v>1500</v>
      </c>
      <c r="G12" s="214">
        <v>1500</v>
      </c>
      <c r="H12" s="215"/>
      <c r="I12" s="216">
        <v>92</v>
      </c>
      <c r="J12" s="217">
        <v>0.127</v>
      </c>
      <c r="K12" s="218">
        <f>I12/100*G12</f>
        <v>1380</v>
      </c>
      <c r="L12" s="219"/>
      <c r="M12" s="219"/>
      <c r="N12" s="219"/>
      <c r="O12" s="220">
        <v>0.1</v>
      </c>
      <c r="P12" s="221"/>
      <c r="Q12" s="222">
        <f>G12*O12</f>
        <v>150</v>
      </c>
      <c r="R12" s="223"/>
      <c r="T12" s="209"/>
      <c r="U12" s="196"/>
      <c r="V12" s="196"/>
      <c r="W12" s="196"/>
      <c r="X12" s="196"/>
      <c r="Y12" s="210"/>
      <c r="Z12" s="210"/>
    </row>
    <row r="13" spans="1:28" ht="12.75" customHeight="1">
      <c r="A13" s="1"/>
      <c r="B13" s="224" t="s">
        <v>165</v>
      </c>
      <c r="C13" s="225"/>
      <c r="D13" s="225"/>
      <c r="E13" s="225"/>
      <c r="F13" s="226">
        <f>F12+F11+F10</f>
        <v>4050</v>
      </c>
      <c r="G13" s="226">
        <f>G12+G11+G10</f>
        <v>3483.2</v>
      </c>
      <c r="H13" s="227">
        <f>G13/$C$8</f>
        <v>7.0418363513097768</v>
      </c>
      <c r="I13" s="228"/>
      <c r="J13" s="228"/>
      <c r="K13" s="226">
        <f>SUM(K10:K12)</f>
        <v>3275</v>
      </c>
      <c r="L13" s="224"/>
      <c r="M13" s="227">
        <f>K13/C8</f>
        <v>6.6209273227318333</v>
      </c>
      <c r="N13" s="224"/>
      <c r="O13" s="229"/>
      <c r="P13" s="230"/>
      <c r="Q13" s="226">
        <f>SUM(Q10:Q12)</f>
        <v>239.24400000000003</v>
      </c>
      <c r="R13" s="231">
        <f>C8/Q13</f>
        <v>2.0675281376335453</v>
      </c>
      <c r="T13" s="209"/>
    </row>
    <row r="14" spans="1:28" ht="6" customHeight="1">
      <c r="A14" s="1"/>
      <c r="B14" s="171"/>
      <c r="C14" s="172"/>
      <c r="D14" s="172"/>
      <c r="E14" s="172"/>
      <c r="F14" s="172"/>
      <c r="G14" s="171"/>
      <c r="H14" s="171"/>
      <c r="I14" s="172"/>
      <c r="J14" s="172"/>
      <c r="K14" s="171"/>
      <c r="L14" s="171"/>
      <c r="M14" s="171"/>
      <c r="N14" s="171"/>
      <c r="O14" s="203"/>
      <c r="P14" s="232"/>
      <c r="Q14" s="171"/>
      <c r="R14" s="136"/>
      <c r="T14" s="209"/>
    </row>
    <row r="15" spans="1:28" ht="12.75" customHeight="1">
      <c r="A15" s="1"/>
      <c r="B15" s="171" t="s">
        <v>166</v>
      </c>
      <c r="C15" s="172"/>
      <c r="D15" s="172"/>
      <c r="E15" s="172"/>
      <c r="F15" s="172"/>
      <c r="G15" s="171"/>
      <c r="H15" s="171"/>
      <c r="I15" s="172"/>
      <c r="J15" s="172"/>
      <c r="K15" s="171"/>
      <c r="L15" s="171"/>
      <c r="M15" s="233">
        <f>J12-M12</f>
        <v>0.127</v>
      </c>
      <c r="N15" s="171"/>
      <c r="O15" s="203"/>
      <c r="P15" s="203"/>
      <c r="Q15" s="171"/>
      <c r="R15" s="136"/>
      <c r="T15" s="209"/>
    </row>
    <row r="16" spans="1:28" ht="12.75" customHeight="1">
      <c r="A16" s="1"/>
      <c r="B16" s="171" t="s">
        <v>167</v>
      </c>
      <c r="C16" s="203" t="s">
        <v>168</v>
      </c>
      <c r="D16" s="172"/>
      <c r="E16" s="199">
        <v>42735</v>
      </c>
      <c r="F16" s="234">
        <v>1100</v>
      </c>
      <c r="G16" s="234">
        <v>1100</v>
      </c>
      <c r="H16" s="235"/>
      <c r="I16" s="216">
        <v>60</v>
      </c>
      <c r="J16" s="217" t="s">
        <v>169</v>
      </c>
      <c r="K16" s="215">
        <f>I16/100*G16</f>
        <v>660</v>
      </c>
      <c r="L16" s="236"/>
      <c r="M16" s="236"/>
      <c r="N16" s="236"/>
      <c r="O16" s="220">
        <v>0.115</v>
      </c>
      <c r="P16" s="220"/>
      <c r="Q16" s="237">
        <f>G16*O16</f>
        <v>126.5</v>
      </c>
      <c r="R16" s="223"/>
      <c r="T16" s="209"/>
    </row>
    <row r="17" spans="1:26" ht="12.75" customHeight="1">
      <c r="A17" s="1"/>
      <c r="B17" s="224" t="s">
        <v>170</v>
      </c>
      <c r="C17" s="225"/>
      <c r="D17" s="225"/>
      <c r="E17" s="225"/>
      <c r="F17" s="238">
        <v>1100</v>
      </c>
      <c r="G17" s="238">
        <v>1100</v>
      </c>
      <c r="H17" s="239"/>
      <c r="I17" s="224"/>
      <c r="J17" s="224"/>
      <c r="K17" s="240">
        <f>K16+K13</f>
        <v>3935</v>
      </c>
      <c r="L17" s="224"/>
      <c r="M17" s="224"/>
      <c r="N17" s="224"/>
      <c r="O17" s="241"/>
      <c r="P17" s="241"/>
      <c r="Q17" s="240">
        <f>Q16</f>
        <v>126.5</v>
      </c>
      <c r="R17" s="223"/>
      <c r="T17" s="209"/>
    </row>
    <row r="18" spans="1:26" ht="6" customHeight="1">
      <c r="A18" s="1"/>
      <c r="B18" s="171"/>
      <c r="C18" s="172"/>
      <c r="D18" s="172"/>
      <c r="E18" s="172"/>
      <c r="F18" s="242"/>
      <c r="G18" s="243"/>
      <c r="H18" s="244"/>
      <c r="I18" s="171"/>
      <c r="J18" s="171"/>
      <c r="K18" s="171"/>
      <c r="L18" s="171"/>
      <c r="M18" s="171"/>
      <c r="N18" s="171"/>
      <c r="O18" s="174"/>
      <c r="P18" s="174"/>
      <c r="Q18" s="171"/>
      <c r="R18" s="136"/>
    </row>
    <row r="19" spans="1:26" ht="12.75" customHeight="1">
      <c r="A19" s="1"/>
      <c r="B19" s="171" t="s">
        <v>171</v>
      </c>
      <c r="C19" s="172"/>
      <c r="D19" s="172"/>
      <c r="E19" s="172"/>
      <c r="F19" s="245">
        <f>F17+F13</f>
        <v>5150</v>
      </c>
      <c r="G19" s="245">
        <f>G17+G13</f>
        <v>4583.2</v>
      </c>
      <c r="H19" s="211">
        <f>G19/$C$8</f>
        <v>9.2656592688685606</v>
      </c>
      <c r="I19" s="171"/>
      <c r="J19" s="171"/>
      <c r="K19" s="245"/>
      <c r="L19" s="171"/>
      <c r="M19" s="211">
        <f>K16/C8+H13</f>
        <v>8.376130101845046</v>
      </c>
      <c r="N19" s="171"/>
      <c r="O19" s="174"/>
      <c r="P19" s="174"/>
      <c r="Q19" s="246">
        <f>Q17+Q13</f>
        <v>365.74400000000003</v>
      </c>
      <c r="R19" s="213">
        <f>C8/Q19</f>
        <v>1.3524314869416858</v>
      </c>
      <c r="T19" s="209"/>
      <c r="V19" s="167"/>
      <c r="W19" s="167"/>
      <c r="X19" s="167"/>
      <c r="Y19" s="167"/>
      <c r="Z19" s="167"/>
    </row>
    <row r="20" spans="1:26" ht="12.75" customHeight="1">
      <c r="A20" s="1"/>
      <c r="B20" s="171" t="s">
        <v>172</v>
      </c>
      <c r="C20" s="172"/>
      <c r="D20" s="172"/>
      <c r="E20" s="172"/>
      <c r="F20" s="242"/>
      <c r="G20" s="234">
        <f>-C29</f>
        <v>-264.99168816493801</v>
      </c>
      <c r="H20" s="247"/>
      <c r="I20" s="171"/>
      <c r="J20" s="171"/>
      <c r="K20" s="209"/>
      <c r="L20" s="171"/>
      <c r="M20" s="171"/>
      <c r="N20" s="171"/>
      <c r="O20" s="174"/>
      <c r="P20" s="174"/>
      <c r="Q20" s="171"/>
      <c r="R20" s="136"/>
      <c r="T20" s="209"/>
      <c r="V20" s="167"/>
      <c r="W20" s="167"/>
      <c r="X20" s="167"/>
      <c r="Y20" s="167"/>
      <c r="Z20" s="167"/>
    </row>
    <row r="21" spans="1:26" ht="12.75" customHeight="1">
      <c r="A21" s="248"/>
      <c r="B21" s="236" t="s">
        <v>173</v>
      </c>
      <c r="C21" s="225"/>
      <c r="D21" s="225"/>
      <c r="E21" s="225"/>
      <c r="F21" s="238"/>
      <c r="G21" s="249">
        <f>G19+G20</f>
        <v>4318.208311835062</v>
      </c>
      <c r="H21" s="227">
        <f>G21/$C$8</f>
        <v>8.7299369151378521</v>
      </c>
      <c r="I21" s="236"/>
      <c r="J21" s="236"/>
      <c r="K21" s="213"/>
      <c r="L21" s="236"/>
      <c r="M21" s="227">
        <f>M19+G20/C8</f>
        <v>7.8404077481143375</v>
      </c>
      <c r="N21" s="236"/>
      <c r="O21" s="250"/>
      <c r="P21" s="250"/>
      <c r="Q21" s="236"/>
      <c r="R21" s="223"/>
      <c r="T21" s="209"/>
      <c r="V21" s="167"/>
      <c r="W21" s="167"/>
      <c r="X21" s="167"/>
      <c r="Y21" s="167"/>
      <c r="Z21" s="167"/>
    </row>
    <row r="22" spans="1:26" ht="6" customHeight="1">
      <c r="A22" s="1"/>
      <c r="B22" s="171"/>
      <c r="C22" s="172"/>
      <c r="D22" s="172"/>
      <c r="E22" s="172"/>
      <c r="F22" s="172"/>
      <c r="G22" s="171"/>
      <c r="H22" s="171"/>
      <c r="I22" s="171"/>
      <c r="J22" s="171"/>
      <c r="K22" s="171"/>
      <c r="L22" s="171"/>
      <c r="M22" s="171"/>
      <c r="N22" s="171"/>
      <c r="O22" s="174"/>
      <c r="P22" s="174"/>
      <c r="Q22" s="171"/>
      <c r="R22" s="136"/>
      <c r="T22" s="209"/>
      <c r="V22" s="167"/>
      <c r="W22" s="167"/>
      <c r="X22" s="167"/>
      <c r="Y22" s="167"/>
      <c r="Z22" s="167"/>
    </row>
    <row r="23" spans="1:26" ht="12.75" customHeight="1">
      <c r="A23" s="1"/>
      <c r="B23" s="171" t="s">
        <v>174</v>
      </c>
      <c r="C23" s="171"/>
      <c r="D23" s="171"/>
      <c r="E23" s="172"/>
      <c r="F23" s="172"/>
      <c r="G23" s="171"/>
      <c r="H23" s="136"/>
      <c r="I23" s="171"/>
      <c r="J23" s="171"/>
      <c r="K23" s="171"/>
      <c r="L23" s="171"/>
      <c r="M23" s="171"/>
      <c r="N23" s="171"/>
      <c r="O23" s="174"/>
      <c r="P23" s="174"/>
      <c r="Q23" s="171"/>
      <c r="R23" s="136"/>
      <c r="T23" s="209"/>
      <c r="V23" s="167"/>
      <c r="W23" s="167"/>
      <c r="X23" s="251"/>
      <c r="Y23" s="252"/>
      <c r="Z23" s="253"/>
    </row>
    <row r="24" spans="1:26" ht="12.75" customHeight="1">
      <c r="A24" s="1"/>
      <c r="B24" s="171" t="s">
        <v>175</v>
      </c>
      <c r="C24" s="254">
        <v>750</v>
      </c>
      <c r="D24" s="171"/>
      <c r="E24" s="255"/>
      <c r="F24" s="255"/>
      <c r="G24" s="171"/>
      <c r="H24" s="171"/>
      <c r="I24" s="171"/>
      <c r="J24" s="171"/>
      <c r="K24" s="171"/>
      <c r="L24" s="171"/>
      <c r="M24" s="171"/>
      <c r="N24" s="171"/>
      <c r="O24" s="174"/>
      <c r="P24" s="174"/>
      <c r="Q24" s="171"/>
      <c r="R24" s="136"/>
      <c r="V24" s="167"/>
      <c r="W24" s="167"/>
      <c r="X24" s="256"/>
      <c r="Y24" s="257"/>
      <c r="Z24" s="114"/>
    </row>
    <row r="25" spans="1:26" ht="12.75" customHeight="1">
      <c r="A25" s="1"/>
      <c r="B25" s="171" t="s">
        <v>176</v>
      </c>
      <c r="C25" s="258">
        <v>-219.2</v>
      </c>
      <c r="D25" s="171"/>
      <c r="E25" s="172"/>
      <c r="F25" s="172"/>
      <c r="G25" s="259"/>
      <c r="H25" s="171"/>
      <c r="I25" s="171"/>
      <c r="J25" s="171"/>
      <c r="K25" s="171"/>
      <c r="L25" s="171"/>
      <c r="M25" s="171"/>
      <c r="N25" s="171"/>
      <c r="O25" s="174"/>
      <c r="P25" s="174"/>
      <c r="Q25" s="171"/>
      <c r="R25" s="136"/>
      <c r="V25" s="167"/>
      <c r="W25" s="167"/>
      <c r="X25" s="260"/>
      <c r="Y25" s="114"/>
      <c r="Z25" s="114"/>
    </row>
    <row r="26" spans="1:26" ht="12.75" customHeight="1">
      <c r="A26" s="1"/>
      <c r="B26" s="171" t="s">
        <v>177</v>
      </c>
      <c r="C26" s="214">
        <v>-125</v>
      </c>
      <c r="D26" s="171"/>
      <c r="E26" s="172"/>
      <c r="F26" s="172"/>
      <c r="G26" s="261"/>
      <c r="H26" s="171"/>
      <c r="I26" s="171"/>
      <c r="J26" s="171"/>
      <c r="K26" s="171"/>
      <c r="L26" s="171"/>
      <c r="M26" s="171"/>
      <c r="N26" s="171"/>
      <c r="O26" s="174"/>
      <c r="P26" s="174"/>
      <c r="Q26" s="171"/>
      <c r="R26" s="136"/>
      <c r="V26" s="167"/>
      <c r="W26" s="167"/>
      <c r="X26" s="256"/>
      <c r="Y26" s="262"/>
      <c r="Z26" s="114"/>
    </row>
    <row r="27" spans="1:26" ht="12.75" customHeight="1">
      <c r="A27" s="1"/>
      <c r="B27" s="171" t="s">
        <v>178</v>
      </c>
      <c r="C27" s="201">
        <f>SUM(C24:C26)</f>
        <v>405.79999999999995</v>
      </c>
      <c r="D27" s="171"/>
      <c r="E27" s="263"/>
      <c r="F27" s="264"/>
      <c r="I27" s="171"/>
      <c r="J27" s="171"/>
      <c r="K27" s="171"/>
      <c r="L27" s="171"/>
      <c r="M27" s="171"/>
      <c r="N27" s="171"/>
      <c r="O27" s="174"/>
      <c r="P27" s="174"/>
      <c r="Q27" s="171"/>
      <c r="R27" s="136"/>
      <c r="V27" s="167"/>
      <c r="W27" s="167"/>
      <c r="X27" s="256"/>
      <c r="Y27" s="114"/>
      <c r="Z27" s="114"/>
    </row>
    <row r="28" spans="1:26" ht="12.75" customHeight="1">
      <c r="A28" s="1"/>
      <c r="B28" s="171"/>
      <c r="C28" s="258"/>
      <c r="D28" s="171"/>
      <c r="E28" s="256"/>
      <c r="F28" s="264"/>
      <c r="I28" s="136"/>
      <c r="J28" s="136"/>
      <c r="K28" s="136"/>
      <c r="L28" s="136"/>
      <c r="M28" s="136"/>
      <c r="N28" s="136"/>
      <c r="O28" s="174"/>
      <c r="P28" s="174"/>
      <c r="Q28" s="136"/>
      <c r="R28" s="136"/>
      <c r="V28" s="167"/>
      <c r="W28" s="167"/>
      <c r="X28" s="256"/>
      <c r="Y28" s="114"/>
      <c r="Z28" s="114"/>
    </row>
    <row r="29" spans="1:26" ht="12.75" customHeight="1">
      <c r="A29" s="1"/>
      <c r="B29" s="171" t="s">
        <v>179</v>
      </c>
      <c r="C29" s="214">
        <v>264.99168816493801</v>
      </c>
      <c r="D29" s="171"/>
      <c r="E29" s="256"/>
      <c r="F29" s="264"/>
      <c r="I29" s="136"/>
      <c r="J29" s="136"/>
      <c r="K29" s="136"/>
      <c r="L29" s="136"/>
      <c r="M29" s="136"/>
      <c r="N29" s="136"/>
      <c r="O29" s="174"/>
      <c r="P29" s="174"/>
      <c r="Q29" s="136"/>
      <c r="R29" s="136"/>
      <c r="V29" s="167"/>
      <c r="W29" s="167"/>
      <c r="X29" s="167"/>
      <c r="Y29" s="167"/>
      <c r="Z29" s="167"/>
    </row>
    <row r="30" spans="1:26" ht="12.75" customHeight="1">
      <c r="A30" s="1"/>
      <c r="B30" s="173" t="s">
        <v>180</v>
      </c>
      <c r="C30" s="246">
        <f>C29+C27</f>
        <v>670.79168816493802</v>
      </c>
      <c r="D30" s="171"/>
      <c r="E30" s="256"/>
      <c r="F30" s="264"/>
      <c r="G30">
        <v>2016</v>
      </c>
      <c r="I30" s="136"/>
      <c r="J30" s="136">
        <v>2017</v>
      </c>
      <c r="K30" s="136"/>
      <c r="L30" s="136"/>
      <c r="M30" s="136"/>
      <c r="N30" s="136"/>
      <c r="O30" s="169"/>
      <c r="P30" s="169"/>
      <c r="Q30" s="136"/>
      <c r="R30" s="136"/>
      <c r="V30" s="167"/>
      <c r="W30" s="167"/>
      <c r="X30" s="167"/>
      <c r="Y30" s="167"/>
      <c r="Z30" s="167"/>
    </row>
    <row r="31" spans="1:26" ht="12.75" customHeight="1">
      <c r="A31" s="1"/>
      <c r="B31" s="1"/>
      <c r="C31" s="1"/>
      <c r="D31" s="1"/>
      <c r="E31" s="256"/>
      <c r="F31" s="264"/>
      <c r="G31" s="265">
        <f>C38+3.5%</f>
        <v>4.7100000000000003E-2</v>
      </c>
      <c r="H31" s="266">
        <f>G10*G31</f>
        <v>10.32432</v>
      </c>
      <c r="I31" s="50">
        <f>C41+3.5%</f>
        <v>5.3000000000000005E-2</v>
      </c>
      <c r="J31" s="266">
        <f>G10*I31</f>
        <v>11.617600000000001</v>
      </c>
      <c r="K31" s="1"/>
      <c r="L31" s="1"/>
      <c r="M31" s="1"/>
      <c r="N31" s="1"/>
      <c r="O31" s="50"/>
      <c r="P31" s="50"/>
      <c r="Q31" s="1"/>
      <c r="R31" s="1"/>
      <c r="V31" s="167"/>
      <c r="W31" s="167"/>
      <c r="X31" s="167"/>
      <c r="Y31" s="167"/>
      <c r="Z31" s="167"/>
    </row>
    <row r="32" spans="1:26" ht="12.75" customHeight="1">
      <c r="A32" s="1"/>
      <c r="B32" s="267" t="s">
        <v>181</v>
      </c>
      <c r="C32" s="268">
        <v>200</v>
      </c>
      <c r="D32" s="1"/>
      <c r="E32" s="256"/>
      <c r="F32" s="264"/>
      <c r="H32">
        <f>G31*G11</f>
        <v>83.084400000000002</v>
      </c>
      <c r="I32" s="1"/>
      <c r="J32">
        <f>I31*G11</f>
        <v>93.492000000000004</v>
      </c>
      <c r="K32" s="1"/>
      <c r="L32" s="1"/>
      <c r="M32" s="1"/>
      <c r="N32" s="1"/>
      <c r="O32" s="50"/>
      <c r="P32" s="50"/>
      <c r="Q32" s="1"/>
      <c r="R32" s="1"/>
      <c r="V32" s="167"/>
      <c r="W32" s="167"/>
      <c r="X32" s="167"/>
      <c r="Y32" s="167"/>
      <c r="Z32" s="167"/>
    </row>
    <row r="33" spans="1:26" ht="12.75" customHeight="1">
      <c r="A33" s="1"/>
      <c r="B33" s="1"/>
      <c r="C33" s="1"/>
      <c r="D33" s="1"/>
      <c r="E33" s="124"/>
      <c r="F33" s="124"/>
      <c r="G33" s="1"/>
      <c r="H33" s="1">
        <f>O12*G12</f>
        <v>150</v>
      </c>
      <c r="I33" s="1"/>
      <c r="J33" s="1">
        <f>H33</f>
        <v>150</v>
      </c>
      <c r="K33" s="1"/>
      <c r="L33" s="1"/>
      <c r="M33" s="1"/>
      <c r="N33" s="1"/>
      <c r="O33" s="50"/>
      <c r="P33" s="50"/>
      <c r="Q33" s="1"/>
      <c r="R33" s="1"/>
      <c r="V33" s="167"/>
      <c r="W33" s="167"/>
      <c r="X33" s="167"/>
      <c r="Y33" s="167"/>
      <c r="Z33" s="167"/>
    </row>
    <row r="34" spans="1:26" ht="12.75" customHeight="1">
      <c r="B34" s="1"/>
      <c r="E34" s="264"/>
      <c r="F34" s="264"/>
      <c r="H34" s="266">
        <f>SUM(H31:H33)</f>
        <v>243.40872000000002</v>
      </c>
      <c r="J34" s="266">
        <f>SUM(J31:J33)</f>
        <v>255.1096</v>
      </c>
      <c r="O34" s="149"/>
      <c r="P34" s="149"/>
      <c r="V34" s="167"/>
      <c r="W34" s="167"/>
      <c r="X34" s="167"/>
      <c r="Y34" s="167"/>
      <c r="Z34" s="167"/>
    </row>
    <row r="35" spans="1:26" ht="12.75" customHeight="1">
      <c r="B35" s="269" t="s">
        <v>182</v>
      </c>
      <c r="C35" s="270" t="s">
        <v>183</v>
      </c>
      <c r="E35" s="264"/>
      <c r="F35" s="264"/>
      <c r="O35" s="149"/>
      <c r="P35" s="149"/>
      <c r="V35" s="167"/>
      <c r="W35" s="167"/>
      <c r="X35" s="167"/>
      <c r="Y35" s="167"/>
      <c r="Z35" s="167"/>
    </row>
    <row r="36" spans="1:26" ht="12.75" customHeight="1">
      <c r="B36" s="271" t="s">
        <v>184</v>
      </c>
      <c r="C36" s="272">
        <v>6.3E-3</v>
      </c>
      <c r="E36" s="264"/>
      <c r="F36" s="264"/>
      <c r="O36" s="149"/>
      <c r="P36" s="149"/>
      <c r="V36" s="167"/>
      <c r="W36" s="167"/>
      <c r="X36" s="167"/>
      <c r="Y36" s="167"/>
      <c r="Z36" s="167"/>
    </row>
    <row r="37" spans="1:26" ht="12.75" customHeight="1">
      <c r="B37" s="1" t="s">
        <v>185</v>
      </c>
      <c r="C37" s="272">
        <v>8.9999999999999993E-3</v>
      </c>
      <c r="E37" s="264"/>
      <c r="F37" s="264"/>
      <c r="O37" s="149"/>
      <c r="P37" s="149"/>
      <c r="V37" s="167"/>
      <c r="W37" s="167"/>
      <c r="X37" s="167"/>
      <c r="Y37" s="167"/>
      <c r="Z37" s="167"/>
    </row>
    <row r="38" spans="1:26" ht="12.75" customHeight="1">
      <c r="B38" s="271" t="s">
        <v>186</v>
      </c>
      <c r="C38" s="272">
        <v>1.21E-2</v>
      </c>
      <c r="E38" s="264"/>
      <c r="F38" s="264"/>
      <c r="O38" s="149"/>
      <c r="P38" s="149"/>
      <c r="V38" s="167"/>
      <c r="W38" s="167"/>
      <c r="X38" s="167"/>
      <c r="Y38" s="167"/>
      <c r="Z38" s="167"/>
    </row>
    <row r="39" spans="1:26" ht="12.75" customHeight="1">
      <c r="B39" s="273" t="s">
        <v>187</v>
      </c>
      <c r="C39" s="274">
        <v>1.15E-2</v>
      </c>
      <c r="E39" s="264"/>
      <c r="F39" s="264"/>
      <c r="O39" s="149"/>
      <c r="P39" s="149"/>
      <c r="T39" s="275"/>
      <c r="U39" s="196"/>
      <c r="V39" s="196"/>
      <c r="W39" s="196"/>
      <c r="X39" s="196"/>
      <c r="Y39" s="276"/>
      <c r="Z39" s="276"/>
    </row>
    <row r="40" spans="1:26" ht="12.75" customHeight="1">
      <c r="B40" s="271" t="s">
        <v>188</v>
      </c>
      <c r="C40" s="272">
        <v>1.4200000000000001E-2</v>
      </c>
      <c r="E40" s="264"/>
      <c r="F40" s="264"/>
      <c r="O40" s="149"/>
      <c r="P40" s="149"/>
      <c r="V40" s="167"/>
      <c r="W40" s="167"/>
      <c r="X40" s="167"/>
      <c r="Y40" s="167"/>
      <c r="Z40" s="167"/>
    </row>
    <row r="41" spans="1:26" ht="12.75" customHeight="1">
      <c r="B41" s="1" t="s">
        <v>189</v>
      </c>
      <c r="C41" s="272">
        <v>1.7999999999999999E-2</v>
      </c>
      <c r="E41" s="264"/>
      <c r="F41" s="264"/>
      <c r="O41" s="149"/>
      <c r="P41" s="149"/>
      <c r="V41" s="167"/>
      <c r="W41" s="167"/>
      <c r="X41" s="167"/>
      <c r="Y41" s="167"/>
      <c r="Z41" s="167"/>
    </row>
    <row r="42" spans="1:26" ht="12.75" customHeight="1">
      <c r="B42" s="1"/>
      <c r="C42" s="1"/>
      <c r="E42" s="264"/>
      <c r="F42" s="264"/>
      <c r="O42" s="149"/>
      <c r="P42" s="149"/>
      <c r="V42" s="167"/>
      <c r="W42" s="167"/>
      <c r="X42" s="167"/>
      <c r="Y42" s="167"/>
      <c r="Z42" s="167"/>
    </row>
    <row r="43" spans="1:26" ht="12.75" customHeight="1">
      <c r="B43" s="277" t="s">
        <v>190</v>
      </c>
      <c r="C43" s="278" t="s">
        <v>191</v>
      </c>
      <c r="D43" s="278" t="s">
        <v>191</v>
      </c>
      <c r="E43" s="278" t="s">
        <v>191</v>
      </c>
      <c r="F43" s="264"/>
      <c r="O43" s="149"/>
      <c r="P43" s="149"/>
      <c r="V43" s="167"/>
      <c r="W43" s="167"/>
      <c r="X43" s="167"/>
      <c r="Y43" s="167"/>
      <c r="Z43" s="167"/>
    </row>
    <row r="44" spans="1:26" ht="12.75" customHeight="1">
      <c r="C44" s="279"/>
      <c r="D44" s="280" t="s">
        <v>192</v>
      </c>
      <c r="E44" s="279"/>
      <c r="F44" s="264"/>
      <c r="O44" s="149"/>
      <c r="P44" s="149"/>
      <c r="V44" s="167"/>
      <c r="W44" s="167"/>
      <c r="X44" s="167"/>
      <c r="Y44" s="167"/>
      <c r="Z44" s="167"/>
    </row>
    <row r="45" spans="1:26" ht="12.75" customHeight="1">
      <c r="C45" s="100">
        <v>2016</v>
      </c>
      <c r="D45" s="100">
        <v>2017</v>
      </c>
      <c r="E45" s="100">
        <v>2018</v>
      </c>
      <c r="F45" s="281" t="s">
        <v>191</v>
      </c>
      <c r="G45" s="281" t="s">
        <v>191</v>
      </c>
      <c r="H45" s="281" t="s">
        <v>191</v>
      </c>
      <c r="I45" s="281" t="s">
        <v>191</v>
      </c>
      <c r="J45" s="281" t="s">
        <v>191</v>
      </c>
      <c r="K45" s="281" t="s">
        <v>191</v>
      </c>
      <c r="O45" s="149"/>
      <c r="P45" s="149"/>
      <c r="V45" s="167"/>
      <c r="W45" s="167"/>
      <c r="X45" s="167"/>
      <c r="Y45" s="167"/>
      <c r="Z45" s="167"/>
    </row>
    <row r="46" spans="1:26" ht="12.75" customHeight="1">
      <c r="B46" s="282" t="s">
        <v>193</v>
      </c>
      <c r="C46" s="283" t="s">
        <v>191</v>
      </c>
      <c r="D46" s="283" t="s">
        <v>191</v>
      </c>
      <c r="E46" s="283" t="s">
        <v>191</v>
      </c>
      <c r="G46" s="284"/>
      <c r="K46" s="285"/>
      <c r="O46" s="149"/>
      <c r="P46" s="149"/>
      <c r="V46" s="167"/>
      <c r="W46" s="167"/>
      <c r="X46" s="167"/>
      <c r="Y46" s="167"/>
      <c r="Z46" s="167"/>
    </row>
    <row r="47" spans="1:26" ht="12.75" customHeight="1">
      <c r="B47" s="286" t="s">
        <v>194</v>
      </c>
      <c r="C47" s="287">
        <f>'Ex 2 Balance Sheet'!C6</f>
        <v>264.99168816493801</v>
      </c>
      <c r="D47" s="287">
        <f ca="1">C51</f>
        <v>191</v>
      </c>
      <c r="E47" s="287">
        <f ca="1">D51</f>
        <v>191</v>
      </c>
      <c r="F47" s="264"/>
      <c r="O47" s="149"/>
      <c r="P47" s="149"/>
      <c r="V47" s="167"/>
      <c r="W47" s="167"/>
      <c r="X47" s="167"/>
      <c r="Y47" s="167"/>
      <c r="Z47" s="167"/>
    </row>
    <row r="48" spans="1:26" ht="12.75" customHeight="1">
      <c r="B48" s="288"/>
      <c r="C48" s="265"/>
      <c r="D48" s="265"/>
      <c r="E48" s="265"/>
      <c r="F48" s="264"/>
      <c r="O48" s="149"/>
      <c r="P48" s="149"/>
      <c r="V48" s="167"/>
      <c r="W48" s="167"/>
      <c r="X48" s="167"/>
      <c r="Y48" s="167"/>
      <c r="Z48" s="167"/>
    </row>
    <row r="49" spans="2:26" ht="12.75" customHeight="1">
      <c r="B49" s="286" t="s">
        <v>195</v>
      </c>
      <c r="C49" s="289">
        <f ca="1">$C$7*AVERAGE(C47,C51)</f>
        <v>5.6314973488369846</v>
      </c>
      <c r="D49" s="289">
        <f ca="1">$C$7*AVERAGE(D47,D51)</f>
        <v>4.7176999999999998</v>
      </c>
      <c r="E49" s="289">
        <f ca="1">$C$7*AVERAGE(E47,E51)</f>
        <v>1.4464854969940812</v>
      </c>
      <c r="F49" s="264"/>
      <c r="O49" s="149"/>
      <c r="P49" s="149"/>
      <c r="V49" s="167"/>
      <c r="W49" s="167"/>
      <c r="X49" s="167"/>
      <c r="Y49" s="167"/>
      <c r="Z49" s="167"/>
    </row>
    <row r="50" spans="2:26" ht="12.75" customHeight="1">
      <c r="E50" s="264"/>
      <c r="F50" s="264"/>
      <c r="O50" s="149"/>
      <c r="P50" s="149"/>
      <c r="V50" s="167"/>
      <c r="W50" s="167"/>
      <c r="X50" s="167"/>
      <c r="Y50" s="167"/>
      <c r="Z50" s="167"/>
    </row>
    <row r="51" spans="2:26" ht="12.75" customHeight="1">
      <c r="B51" s="290" t="s">
        <v>196</v>
      </c>
      <c r="C51" s="291">
        <f ca="1">'Ex 2 Balance Sheet'!E6</f>
        <v>191</v>
      </c>
      <c r="D51" s="291">
        <f ca="1">'Ex 2 Balance Sheet'!F6</f>
        <v>191</v>
      </c>
      <c r="E51" s="291">
        <f ca="1">'Ex 2 Balance Sheet'!G6</f>
        <v>-73.875668259588565</v>
      </c>
      <c r="F51" s="264"/>
      <c r="O51" s="149"/>
      <c r="P51" s="149"/>
      <c r="V51" s="167"/>
      <c r="W51" s="167"/>
      <c r="X51" s="167"/>
      <c r="Y51" s="167"/>
      <c r="Z51" s="167"/>
    </row>
    <row r="52" spans="2:26" ht="12.75" customHeight="1">
      <c r="E52" s="264"/>
      <c r="F52" s="264"/>
      <c r="O52" s="149"/>
      <c r="P52" s="149"/>
      <c r="V52" s="167"/>
      <c r="W52" s="167"/>
      <c r="X52" s="167"/>
      <c r="Y52" s="167"/>
      <c r="Z52" s="167"/>
    </row>
    <row r="53" spans="2:26" ht="12.75" customHeight="1">
      <c r="E53" s="264"/>
      <c r="F53" s="264"/>
      <c r="O53" s="149"/>
      <c r="P53" s="149"/>
      <c r="V53" s="167"/>
      <c r="W53" s="167"/>
      <c r="X53" s="167"/>
      <c r="Y53" s="167"/>
      <c r="Z53" s="167"/>
    </row>
    <row r="54" spans="2:26" ht="12.75" customHeight="1">
      <c r="B54" s="286"/>
      <c r="E54" s="264"/>
      <c r="F54" s="264"/>
      <c r="O54" s="149"/>
      <c r="P54" s="149"/>
      <c r="V54" s="167"/>
      <c r="W54" s="167"/>
      <c r="X54" s="167"/>
      <c r="Y54" s="167"/>
      <c r="Z54" s="167"/>
    </row>
    <row r="55" spans="2:26" ht="12.75" customHeight="1">
      <c r="B55" s="286"/>
      <c r="E55" s="264"/>
      <c r="F55" s="264"/>
      <c r="O55" s="149"/>
      <c r="P55" s="149"/>
      <c r="V55" s="167"/>
      <c r="W55" s="167"/>
      <c r="X55" s="167"/>
      <c r="Y55" s="167"/>
      <c r="Z55" s="167"/>
    </row>
    <row r="56" spans="2:26" ht="12.75" customHeight="1">
      <c r="B56" s="286"/>
      <c r="E56" s="264"/>
      <c r="F56" s="264"/>
      <c r="O56" s="149"/>
      <c r="P56" s="149"/>
      <c r="V56" s="167"/>
      <c r="W56" s="167"/>
      <c r="X56" s="167"/>
      <c r="Y56" s="167"/>
      <c r="Z56" s="167"/>
    </row>
    <row r="57" spans="2:26" ht="12.75" customHeight="1">
      <c r="B57" s="286"/>
      <c r="E57" s="264"/>
      <c r="F57" s="264"/>
      <c r="O57" s="149"/>
      <c r="P57" s="149"/>
      <c r="V57" s="167"/>
      <c r="W57" s="167"/>
      <c r="X57" s="167"/>
      <c r="Y57" s="167"/>
      <c r="Z57" s="167"/>
    </row>
    <row r="58" spans="2:26" ht="12.75" customHeight="1">
      <c r="E58" s="264"/>
      <c r="F58" s="264"/>
      <c r="O58" s="149"/>
      <c r="P58" s="149"/>
      <c r="V58" s="167"/>
      <c r="W58" s="167"/>
      <c r="X58" s="167"/>
      <c r="Y58" s="167"/>
      <c r="Z58" s="167"/>
    </row>
    <row r="59" spans="2:26" ht="12.75" customHeight="1">
      <c r="E59" s="264"/>
      <c r="F59" s="264"/>
      <c r="O59" s="149"/>
      <c r="P59" s="149"/>
      <c r="V59" s="167"/>
      <c r="W59" s="167"/>
      <c r="X59" s="167"/>
      <c r="Y59" s="167"/>
      <c r="Z59" s="167"/>
    </row>
    <row r="60" spans="2:26" ht="12.75" customHeight="1">
      <c r="B60" s="277" t="s">
        <v>197</v>
      </c>
      <c r="C60" s="278" t="s">
        <v>191</v>
      </c>
      <c r="D60" s="278" t="s">
        <v>191</v>
      </c>
      <c r="E60" s="278" t="s">
        <v>191</v>
      </c>
      <c r="F60" s="264"/>
      <c r="O60" s="149"/>
      <c r="P60" s="149"/>
      <c r="V60" s="167"/>
      <c r="W60" s="167"/>
      <c r="X60" s="167"/>
      <c r="Y60" s="167"/>
      <c r="Z60" s="167"/>
    </row>
    <row r="61" spans="2:26" ht="12.75" customHeight="1">
      <c r="C61" s="279"/>
      <c r="D61" s="280" t="s">
        <v>192</v>
      </c>
      <c r="E61" s="279"/>
      <c r="F61" s="264"/>
      <c r="O61" s="149"/>
      <c r="P61" s="149"/>
      <c r="V61" s="167"/>
      <c r="W61" s="167"/>
      <c r="X61" s="167"/>
      <c r="Y61" s="167"/>
      <c r="Z61" s="167"/>
    </row>
    <row r="62" spans="2:26" ht="12.75" customHeight="1">
      <c r="C62" s="100">
        <v>2016</v>
      </c>
      <c r="D62" s="100">
        <v>2017</v>
      </c>
      <c r="E62" s="100">
        <v>2018</v>
      </c>
      <c r="F62" s="264"/>
      <c r="O62" s="149"/>
      <c r="P62" s="149"/>
      <c r="V62" s="167"/>
      <c r="W62" s="167"/>
      <c r="X62" s="167"/>
      <c r="Y62" s="167"/>
      <c r="Z62" s="167"/>
    </row>
    <row r="63" spans="2:26" ht="12.75" customHeight="1">
      <c r="E63" s="264"/>
      <c r="F63" s="264"/>
      <c r="O63" s="149"/>
      <c r="P63" s="149"/>
      <c r="V63" s="167"/>
      <c r="W63" s="167"/>
      <c r="X63" s="167"/>
      <c r="Y63" s="167"/>
      <c r="Z63" s="167"/>
    </row>
    <row r="64" spans="2:26" ht="12.75" customHeight="1">
      <c r="B64" s="282" t="s">
        <v>160</v>
      </c>
      <c r="C64" s="283" t="s">
        <v>191</v>
      </c>
      <c r="D64" s="283" t="s">
        <v>191</v>
      </c>
      <c r="E64" s="283" t="s">
        <v>191</v>
      </c>
      <c r="F64" s="264"/>
      <c r="O64" s="149"/>
      <c r="P64" s="149"/>
      <c r="V64" s="167"/>
      <c r="W64" s="167"/>
      <c r="X64" s="167"/>
      <c r="Y64" s="167"/>
      <c r="Z64" s="167"/>
    </row>
    <row r="65" spans="2:26" ht="12.75" customHeight="1">
      <c r="B65" s="286" t="s">
        <v>198</v>
      </c>
      <c r="C65" s="166">
        <f>'Ex 2 Balance Sheet'!C6</f>
        <v>264.99168816493801</v>
      </c>
      <c r="D65" s="166">
        <f ca="1">'Ex 2 Balance Sheet'!E6</f>
        <v>191</v>
      </c>
      <c r="E65" s="166">
        <f ca="1">'Ex 2 Balance Sheet'!F6</f>
        <v>191</v>
      </c>
      <c r="F65" s="264"/>
      <c r="O65" s="149"/>
      <c r="P65" s="149"/>
      <c r="V65" s="167"/>
      <c r="W65" s="167"/>
      <c r="X65" s="167"/>
      <c r="Y65" s="167"/>
      <c r="Z65" s="167"/>
    </row>
    <row r="66" spans="2:26" ht="12.75" customHeight="1">
      <c r="B66" s="286" t="s">
        <v>199</v>
      </c>
      <c r="C66" s="166">
        <f>-$C$32</f>
        <v>-200</v>
      </c>
      <c r="D66" s="166">
        <f>-$C$32</f>
        <v>-200</v>
      </c>
      <c r="E66" s="166">
        <f>-$C$32</f>
        <v>-200</v>
      </c>
      <c r="F66" s="264"/>
      <c r="O66" s="149"/>
      <c r="P66" s="149"/>
      <c r="V66" s="167"/>
      <c r="W66" s="167"/>
      <c r="X66" s="167"/>
      <c r="Y66" s="167"/>
      <c r="Z66" s="167"/>
    </row>
    <row r="67" spans="2:26" ht="12.75" customHeight="1">
      <c r="B67" s="292" t="s">
        <v>200</v>
      </c>
      <c r="C67" s="293">
        <f>SUM(C65:C66)</f>
        <v>64.991688164938012</v>
      </c>
      <c r="D67" s="293">
        <f ca="1">SUM(D65:D66)</f>
        <v>-9</v>
      </c>
      <c r="E67" s="293">
        <f ca="1">SUM(E65:E66)</f>
        <v>-9</v>
      </c>
      <c r="F67" s="264"/>
      <c r="O67" s="149"/>
      <c r="P67" s="149"/>
      <c r="V67" s="167"/>
      <c r="W67" s="167"/>
      <c r="X67" s="167"/>
      <c r="Y67" s="167"/>
      <c r="Z67" s="167"/>
    </row>
    <row r="68" spans="2:26" ht="12.75" customHeight="1">
      <c r="B68" s="286" t="s">
        <v>201</v>
      </c>
      <c r="C68" s="294">
        <f ca="1">'Statement of Cash Flows'!D18+'Statement of Cash Flows'!D23+C94</f>
        <v>48.143556683303473</v>
      </c>
      <c r="D68" s="294">
        <f ca="1">'Statement of Cash Flows'!E18+'Statement of Cash Flows'!E23+D94</f>
        <v>-523.31811375426378</v>
      </c>
      <c r="E68" s="294">
        <f ca="1">'Statement of Cash Flows'!F18+'Statement of Cash Flows'!F23+E94</f>
        <v>-269.49279935356628</v>
      </c>
      <c r="F68" s="264"/>
      <c r="O68" s="149"/>
      <c r="P68" s="149"/>
      <c r="V68" s="167"/>
      <c r="W68" s="167"/>
      <c r="X68" s="167"/>
      <c r="Y68" s="167"/>
      <c r="Z68" s="167"/>
    </row>
    <row r="69" spans="2:26" ht="12.75" customHeight="1">
      <c r="B69" s="286" t="s">
        <v>202</v>
      </c>
      <c r="C69" s="294">
        <f ca="1">C68+C67</f>
        <v>113.13524484824148</v>
      </c>
      <c r="D69" s="294">
        <f ca="1">D68+D67</f>
        <v>-532.31811375426378</v>
      </c>
      <c r="E69" s="294">
        <f ca="1">E68+E67</f>
        <v>-278.49279935356628</v>
      </c>
      <c r="F69" s="264"/>
      <c r="O69" s="149"/>
      <c r="P69" s="149"/>
      <c r="V69" s="167"/>
      <c r="W69" s="167"/>
      <c r="X69" s="167"/>
      <c r="Y69" s="167"/>
      <c r="Z69" s="167"/>
    </row>
    <row r="70" spans="2:26" ht="12.75" customHeight="1">
      <c r="E70" s="264"/>
      <c r="F70" s="264"/>
      <c r="O70" s="149"/>
      <c r="P70" s="149"/>
      <c r="V70" s="167"/>
      <c r="W70" s="167"/>
      <c r="X70" s="167"/>
      <c r="Y70" s="167"/>
      <c r="Z70" s="167"/>
    </row>
    <row r="71" spans="2:26" ht="12.75" customHeight="1">
      <c r="B71" s="286" t="s">
        <v>203</v>
      </c>
      <c r="C71" s="295">
        <f>$F$10-C74</f>
        <v>405.8</v>
      </c>
      <c r="D71" s="295">
        <f ca="1">$F$10-D74</f>
        <v>518.9352448482415</v>
      </c>
      <c r="E71" s="295">
        <f ca="1">$F$10-E74</f>
        <v>0</v>
      </c>
      <c r="F71" s="264"/>
      <c r="O71" s="149"/>
      <c r="P71" s="149"/>
      <c r="V71" s="167"/>
      <c r="W71" s="167"/>
      <c r="X71" s="167"/>
      <c r="Y71" s="167"/>
      <c r="Z71" s="167"/>
    </row>
    <row r="72" spans="2:26" ht="12.75" customHeight="1">
      <c r="B72" s="286" t="s">
        <v>204</v>
      </c>
      <c r="C72" s="295">
        <f ca="1">$F$10-C76</f>
        <v>518.9352448482415</v>
      </c>
      <c r="D72" s="295">
        <f ca="1">$F$10-D76</f>
        <v>0</v>
      </c>
      <c r="E72" s="295">
        <f ca="1">$F$10-E76</f>
        <v>0</v>
      </c>
      <c r="F72" s="264"/>
      <c r="O72" s="149"/>
      <c r="P72" s="149"/>
      <c r="V72" s="167"/>
      <c r="W72" s="167"/>
      <c r="X72" s="167"/>
      <c r="Y72" s="167"/>
      <c r="Z72" s="167"/>
    </row>
    <row r="73" spans="2:26" ht="12.75" customHeight="1">
      <c r="E73" s="264"/>
      <c r="F73" s="264"/>
      <c r="O73" s="149"/>
      <c r="P73" s="149"/>
      <c r="V73" s="167"/>
      <c r="W73" s="167"/>
      <c r="X73" s="167"/>
      <c r="Y73" s="167"/>
      <c r="Z73" s="167"/>
    </row>
    <row r="74" spans="2:26" ht="12.75" customHeight="1">
      <c r="B74" s="286" t="s">
        <v>205</v>
      </c>
      <c r="C74" s="295">
        <f>G10-C26</f>
        <v>344.2</v>
      </c>
      <c r="D74" s="295">
        <f ca="1">C76</f>
        <v>231.0647551517585</v>
      </c>
      <c r="E74" s="295">
        <f ca="1">D76</f>
        <v>750</v>
      </c>
      <c r="F74" s="264"/>
      <c r="O74" s="149"/>
      <c r="P74" s="149"/>
      <c r="V74" s="167"/>
      <c r="W74" s="167"/>
      <c r="X74" s="167"/>
      <c r="Y74" s="167"/>
      <c r="Z74" s="167"/>
    </row>
    <row r="75" spans="2:26" ht="12.75" customHeight="1">
      <c r="B75" s="286" t="s">
        <v>206</v>
      </c>
      <c r="C75" s="166">
        <f ca="1">IF(C69&lt;0,MIN(-C69,C71),MAX(-C69,-C74+125))</f>
        <v>-113.13524484824148</v>
      </c>
      <c r="D75" s="166">
        <f ca="1">IF(D69&lt;0,MIN(-D69,D71),MAX(-D69,-D74+125))</f>
        <v>518.9352448482415</v>
      </c>
      <c r="E75" s="166">
        <f ca="1">IF(E69&lt;0,MIN(-E69,E71),MAX(-E69,-E74+125))</f>
        <v>0</v>
      </c>
      <c r="F75" s="264"/>
      <c r="O75" s="149"/>
      <c r="P75" s="149"/>
      <c r="V75" s="167"/>
      <c r="W75" s="167"/>
      <c r="X75" s="167"/>
      <c r="Y75" s="167"/>
      <c r="Z75" s="167"/>
    </row>
    <row r="76" spans="2:26" ht="12.75" customHeight="1">
      <c r="B76" s="296" t="s">
        <v>207</v>
      </c>
      <c r="C76" s="297">
        <f ca="1">SUM(C74:C75)</f>
        <v>231.0647551517585</v>
      </c>
      <c r="D76" s="297">
        <f ca="1">SUM(D74:D75)</f>
        <v>750</v>
      </c>
      <c r="E76" s="297">
        <f ca="1">SUM(E74:E75)</f>
        <v>750</v>
      </c>
      <c r="F76" s="264"/>
      <c r="O76" s="149"/>
      <c r="P76" s="149"/>
      <c r="V76" s="167"/>
      <c r="W76" s="167"/>
      <c r="X76" s="167"/>
      <c r="Y76" s="167"/>
      <c r="Z76" s="167"/>
    </row>
    <row r="77" spans="2:26" ht="12.75" customHeight="1">
      <c r="E77" s="264"/>
      <c r="F77" s="264"/>
      <c r="O77" s="149"/>
      <c r="P77" s="149"/>
      <c r="V77" s="167"/>
      <c r="W77" s="167"/>
      <c r="X77" s="167"/>
      <c r="Y77" s="167"/>
      <c r="Z77" s="167"/>
    </row>
    <row r="78" spans="2:26" ht="12.75" customHeight="1">
      <c r="B78" s="282" t="s">
        <v>208</v>
      </c>
      <c r="C78" s="283" t="s">
        <v>191</v>
      </c>
      <c r="D78" s="283" t="s">
        <v>191</v>
      </c>
      <c r="E78" s="283" t="s">
        <v>191</v>
      </c>
      <c r="F78" s="264"/>
      <c r="O78" s="149"/>
      <c r="P78" s="149"/>
      <c r="V78" s="167"/>
      <c r="W78" s="167"/>
      <c r="X78" s="167"/>
      <c r="Y78" s="167"/>
      <c r="Z78" s="167"/>
    </row>
    <row r="79" spans="2:26" ht="12.75" customHeight="1">
      <c r="B79" s="286" t="s">
        <v>194</v>
      </c>
      <c r="C79" s="460"/>
      <c r="E79" s="264"/>
      <c r="F79" s="264"/>
      <c r="O79" s="149"/>
      <c r="P79" s="149"/>
      <c r="V79" s="167"/>
      <c r="W79" s="167"/>
      <c r="X79" s="167"/>
      <c r="Y79" s="167"/>
      <c r="Z79" s="167"/>
    </row>
    <row r="80" spans="2:26" ht="12.75" customHeight="1">
      <c r="B80" s="286" t="s">
        <v>209</v>
      </c>
      <c r="E80" s="264"/>
      <c r="F80" s="264"/>
      <c r="O80" s="149"/>
      <c r="P80" s="149"/>
      <c r="V80" s="167"/>
      <c r="W80" s="167"/>
      <c r="X80" s="167"/>
      <c r="Y80" s="167"/>
      <c r="Z80" s="167"/>
    </row>
    <row r="81" spans="2:26" ht="12.75" customHeight="1">
      <c r="E81" s="264"/>
      <c r="F81" s="264"/>
      <c r="O81" s="149"/>
      <c r="P81" s="149"/>
      <c r="V81" s="167"/>
      <c r="W81" s="167"/>
      <c r="X81" s="167"/>
      <c r="Y81" s="167"/>
      <c r="Z81" s="167"/>
    </row>
    <row r="82" spans="2:26" ht="12.75" customHeight="1">
      <c r="B82" s="288" t="s">
        <v>210</v>
      </c>
      <c r="C82" s="265">
        <v>0</v>
      </c>
      <c r="D82" s="265">
        <v>0</v>
      </c>
      <c r="E82" s="265">
        <v>0</v>
      </c>
      <c r="F82" s="264"/>
      <c r="O82" s="149"/>
      <c r="P82" s="149"/>
      <c r="V82" s="167"/>
      <c r="W82" s="167"/>
      <c r="X82" s="167"/>
      <c r="Y82" s="167"/>
      <c r="Z82" s="167"/>
    </row>
    <row r="83" spans="2:26" ht="12.75" customHeight="1">
      <c r="B83" s="286" t="s">
        <v>211</v>
      </c>
      <c r="E83" s="264"/>
      <c r="F83" s="264"/>
      <c r="O83" s="149"/>
      <c r="P83" s="149"/>
      <c r="V83" s="167"/>
      <c r="W83" s="167"/>
      <c r="X83" s="167"/>
      <c r="Y83" s="167"/>
      <c r="Z83" s="167"/>
    </row>
    <row r="84" spans="2:26" ht="12.75" customHeight="1">
      <c r="E84" s="264"/>
      <c r="F84" s="264"/>
      <c r="O84" s="149"/>
      <c r="P84" s="149"/>
      <c r="V84" s="167"/>
      <c r="W84" s="167"/>
      <c r="X84" s="167"/>
      <c r="Y84" s="167"/>
      <c r="Z84" s="167"/>
    </row>
    <row r="85" spans="2:26" ht="12.75" customHeight="1">
      <c r="B85" s="290" t="s">
        <v>196</v>
      </c>
      <c r="C85" s="298" t="s">
        <v>191</v>
      </c>
      <c r="D85" s="298" t="s">
        <v>191</v>
      </c>
      <c r="E85" s="298" t="s">
        <v>191</v>
      </c>
      <c r="F85" s="264"/>
      <c r="O85" s="149"/>
      <c r="P85" s="149"/>
      <c r="V85" s="167"/>
      <c r="W85" s="167"/>
      <c r="X85" s="167"/>
      <c r="Y85" s="167"/>
      <c r="Z85" s="167"/>
    </row>
    <row r="86" spans="2:26" ht="12.75" customHeight="1">
      <c r="B86" s="282" t="s">
        <v>212</v>
      </c>
      <c r="C86" s="283" t="s">
        <v>191</v>
      </c>
      <c r="D86" s="283" t="s">
        <v>191</v>
      </c>
      <c r="E86" s="283" t="s">
        <v>191</v>
      </c>
      <c r="F86" s="264"/>
      <c r="O86" s="149"/>
      <c r="P86" s="149"/>
      <c r="V86" s="167"/>
      <c r="W86" s="167"/>
      <c r="X86" s="167"/>
      <c r="Y86" s="167"/>
      <c r="Z86" s="167"/>
    </row>
    <row r="87" spans="2:26" ht="12.75" customHeight="1">
      <c r="B87" s="286" t="s">
        <v>194</v>
      </c>
      <c r="C87" s="287">
        <f>C74+C26</f>
        <v>219.2</v>
      </c>
      <c r="D87" s="287">
        <f ca="1">C91</f>
        <v>106.0647551517585</v>
      </c>
      <c r="E87" s="287">
        <f ca="1">D91</f>
        <v>625</v>
      </c>
      <c r="F87" s="264"/>
      <c r="O87" s="149"/>
      <c r="P87" s="149"/>
      <c r="V87" s="167"/>
      <c r="W87" s="167"/>
      <c r="X87" s="167"/>
      <c r="Y87" s="167"/>
      <c r="Z87" s="167"/>
    </row>
    <row r="88" spans="2:26" ht="12.75" customHeight="1">
      <c r="B88" s="288"/>
      <c r="C88" s="265"/>
      <c r="D88" s="265"/>
      <c r="E88" s="265"/>
      <c r="F88" s="264"/>
      <c r="O88" s="149"/>
      <c r="P88" s="149"/>
      <c r="V88" s="167"/>
      <c r="W88" s="167"/>
      <c r="X88" s="167"/>
      <c r="Y88" s="167"/>
      <c r="Z88" s="167"/>
    </row>
    <row r="89" spans="2:26" ht="12.75" customHeight="1">
      <c r="B89" s="286" t="s">
        <v>211</v>
      </c>
      <c r="C89" s="289">
        <f ca="1">AVERAGE(C87,C91)*(C38+3.5%)</f>
        <v>7.6599849838239127</v>
      </c>
      <c r="D89" s="289">
        <f ca="1">AVERAGE(D87,D91)*($C$41+3.5%)</f>
        <v>19.373216011521603</v>
      </c>
      <c r="E89" s="289">
        <f ca="1">AVERAGE(E87,E91)*($C$41+3.5%)</f>
        <v>33.125</v>
      </c>
      <c r="F89" s="264"/>
      <c r="O89" s="149"/>
      <c r="P89" s="149"/>
      <c r="V89" s="167"/>
      <c r="W89" s="167"/>
      <c r="X89" s="167"/>
      <c r="Y89" s="167"/>
      <c r="Z89" s="167"/>
    </row>
    <row r="90" spans="2:26" ht="12.75" customHeight="1">
      <c r="E90" s="264"/>
      <c r="F90" s="264"/>
      <c r="O90" s="149"/>
      <c r="P90" s="149"/>
      <c r="V90" s="167"/>
      <c r="W90" s="167"/>
      <c r="X90" s="167"/>
      <c r="Y90" s="167"/>
      <c r="Z90" s="167"/>
    </row>
    <row r="91" spans="2:26" ht="12.75" customHeight="1">
      <c r="B91" s="290" t="s">
        <v>196</v>
      </c>
      <c r="C91" s="291">
        <f ca="1">C76+$C$26</f>
        <v>106.0647551517585</v>
      </c>
      <c r="D91" s="291">
        <f ca="1">D76+$C$26</f>
        <v>625</v>
      </c>
      <c r="E91" s="291">
        <f ca="1">E76+$C$26</f>
        <v>625</v>
      </c>
      <c r="F91" s="264"/>
      <c r="O91" s="149"/>
      <c r="P91" s="149"/>
      <c r="V91" s="167"/>
      <c r="W91" s="167"/>
      <c r="X91" s="167"/>
      <c r="Y91" s="167"/>
      <c r="Z91" s="167"/>
    </row>
    <row r="92" spans="2:26" ht="12.75" customHeight="1">
      <c r="B92" s="282" t="s">
        <v>213</v>
      </c>
      <c r="C92" s="283" t="s">
        <v>191</v>
      </c>
      <c r="D92" s="283" t="s">
        <v>191</v>
      </c>
      <c r="E92" s="283" t="s">
        <v>191</v>
      </c>
      <c r="F92" s="264"/>
      <c r="O92" s="149"/>
      <c r="P92" s="149"/>
      <c r="V92" s="167"/>
      <c r="W92" s="167"/>
      <c r="X92" s="167"/>
      <c r="Y92" s="167"/>
      <c r="Z92" s="167"/>
    </row>
    <row r="93" spans="2:26" ht="12.75" customHeight="1">
      <c r="B93" s="286" t="s">
        <v>194</v>
      </c>
      <c r="C93" s="287">
        <f>G11</f>
        <v>1764</v>
      </c>
      <c r="D93" s="287">
        <f>C99</f>
        <v>1755</v>
      </c>
      <c r="E93" s="287">
        <f>D99</f>
        <v>1746</v>
      </c>
      <c r="F93" s="264"/>
      <c r="O93" s="149"/>
      <c r="P93" s="149"/>
      <c r="V93" s="167"/>
      <c r="W93" s="167"/>
      <c r="X93" s="167"/>
      <c r="Y93" s="167"/>
      <c r="Z93" s="167"/>
    </row>
    <row r="94" spans="2:26" ht="12.75" customHeight="1">
      <c r="B94" s="286" t="s">
        <v>209</v>
      </c>
      <c r="C94" s="299">
        <f>'Statement of Cash Flows'!D27</f>
        <v>-9</v>
      </c>
      <c r="D94" s="299">
        <f>'Statement of Cash Flows'!E27</f>
        <v>-9</v>
      </c>
      <c r="E94" s="299">
        <f>'Statement of Cash Flows'!F27</f>
        <v>-9</v>
      </c>
      <c r="F94" s="264"/>
      <c r="O94" s="149"/>
      <c r="P94" s="149"/>
      <c r="V94" s="167"/>
      <c r="W94" s="167"/>
      <c r="X94" s="167"/>
      <c r="Y94" s="167"/>
      <c r="Z94" s="167"/>
    </row>
    <row r="95" spans="2:26" ht="12.75" customHeight="1">
      <c r="E95" s="264"/>
      <c r="F95" s="264"/>
      <c r="O95" s="149"/>
      <c r="P95" s="149"/>
      <c r="V95" s="167"/>
      <c r="W95" s="167"/>
      <c r="X95" s="167"/>
      <c r="Y95" s="167"/>
      <c r="Z95" s="167"/>
    </row>
    <row r="96" spans="2:26" ht="12.75" customHeight="1">
      <c r="B96" s="288" t="s">
        <v>210</v>
      </c>
      <c r="C96" s="265">
        <v>0</v>
      </c>
      <c r="D96" s="265">
        <v>0</v>
      </c>
      <c r="E96" s="265">
        <v>0</v>
      </c>
      <c r="F96" s="264"/>
      <c r="O96" s="149"/>
      <c r="P96" s="149"/>
      <c r="V96" s="167"/>
      <c r="W96" s="167"/>
      <c r="X96" s="167"/>
      <c r="Y96" s="167"/>
      <c r="Z96" s="167"/>
    </row>
    <row r="97" spans="2:26" ht="12.75" customHeight="1">
      <c r="B97" s="286" t="s">
        <v>211</v>
      </c>
      <c r="C97" s="289">
        <f>AVERAGE(C93,C99)*(C38+3.5%)</f>
        <v>82.872450000000001</v>
      </c>
      <c r="D97" s="289">
        <f>AVERAGE(D93,D99)*($C$41+3.5%)</f>
        <v>92.776500000000013</v>
      </c>
      <c r="E97" s="289">
        <f>AVERAGE(E93,E99)*($C$41+3.5%)</f>
        <v>92.299500000000009</v>
      </c>
      <c r="F97" s="264"/>
      <c r="O97" s="149"/>
      <c r="P97" s="149"/>
      <c r="V97" s="167"/>
      <c r="W97" s="167"/>
      <c r="X97" s="167"/>
      <c r="Y97" s="167"/>
      <c r="Z97" s="167"/>
    </row>
    <row r="98" spans="2:26" ht="12.75" customHeight="1">
      <c r="E98" s="264"/>
      <c r="F98" s="264"/>
      <c r="O98" s="149"/>
      <c r="P98" s="149"/>
      <c r="V98" s="167"/>
      <c r="W98" s="167"/>
      <c r="X98" s="167"/>
      <c r="Y98" s="167"/>
      <c r="Z98" s="167"/>
    </row>
    <row r="99" spans="2:26" ht="12.75" customHeight="1">
      <c r="B99" s="290" t="s">
        <v>196</v>
      </c>
      <c r="C99" s="291">
        <f>C93+C94</f>
        <v>1755</v>
      </c>
      <c r="D99" s="291">
        <f>D93+D94</f>
        <v>1746</v>
      </c>
      <c r="E99" s="291">
        <f>E93+E94</f>
        <v>1737</v>
      </c>
      <c r="F99" s="264"/>
      <c r="O99" s="149"/>
      <c r="P99" s="149"/>
      <c r="V99" s="167"/>
      <c r="W99" s="167"/>
      <c r="X99" s="167"/>
      <c r="Y99" s="167"/>
      <c r="Z99" s="167"/>
    </row>
    <row r="100" spans="2:26" ht="12.75" customHeight="1">
      <c r="B100" s="282" t="s">
        <v>214</v>
      </c>
      <c r="C100" s="283" t="s">
        <v>191</v>
      </c>
      <c r="D100" s="283" t="s">
        <v>191</v>
      </c>
      <c r="E100" s="283" t="s">
        <v>191</v>
      </c>
      <c r="F100" s="264"/>
      <c r="O100" s="149"/>
      <c r="P100" s="149"/>
      <c r="V100" s="167"/>
      <c r="W100" s="167"/>
      <c r="X100" s="167"/>
      <c r="Y100" s="167"/>
      <c r="Z100" s="167"/>
    </row>
    <row r="101" spans="2:26" ht="12.75" customHeight="1">
      <c r="B101" s="286" t="s">
        <v>194</v>
      </c>
      <c r="C101" s="287">
        <f>G12</f>
        <v>1500</v>
      </c>
      <c r="D101" s="287">
        <f>C107</f>
        <v>1500</v>
      </c>
      <c r="E101" s="287">
        <f>D107</f>
        <v>1500</v>
      </c>
      <c r="F101" s="264"/>
      <c r="O101" s="149"/>
      <c r="P101" s="149"/>
      <c r="V101" s="167"/>
      <c r="W101" s="167"/>
      <c r="X101" s="167"/>
      <c r="Y101" s="167"/>
      <c r="Z101" s="167"/>
    </row>
    <row r="102" spans="2:26" ht="12.75" customHeight="1">
      <c r="B102" s="286" t="s">
        <v>209</v>
      </c>
      <c r="E102" s="264"/>
      <c r="F102" s="264"/>
      <c r="O102" s="149"/>
      <c r="P102" s="149"/>
      <c r="V102" s="167"/>
      <c r="W102" s="167"/>
      <c r="X102" s="167"/>
      <c r="Y102" s="167"/>
      <c r="Z102" s="167"/>
    </row>
    <row r="103" spans="2:26" ht="12.75" customHeight="1">
      <c r="E103" s="264"/>
      <c r="F103" s="264"/>
      <c r="O103" s="149"/>
      <c r="P103" s="149"/>
      <c r="V103" s="167"/>
      <c r="W103" s="167"/>
      <c r="X103" s="167"/>
      <c r="Y103" s="167"/>
      <c r="Z103" s="167"/>
    </row>
    <row r="104" spans="2:26" ht="12.75" customHeight="1">
      <c r="B104" s="288" t="s">
        <v>210</v>
      </c>
      <c r="C104" s="265">
        <v>0</v>
      </c>
      <c r="D104" s="265">
        <v>0</v>
      </c>
      <c r="E104" s="265">
        <v>0</v>
      </c>
      <c r="F104" s="264"/>
      <c r="O104" s="149"/>
      <c r="P104" s="149"/>
      <c r="V104" s="167"/>
      <c r="W104" s="167"/>
      <c r="X104" s="167"/>
      <c r="Y104" s="167"/>
      <c r="Z104" s="167"/>
    </row>
    <row r="105" spans="2:26" ht="12.75" customHeight="1">
      <c r="B105" s="286" t="s">
        <v>211</v>
      </c>
      <c r="C105">
        <f>AVERAGE(C101,C107)*$O$12</f>
        <v>150</v>
      </c>
      <c r="D105">
        <f>AVERAGE(D101,D107)*$O$12</f>
        <v>150</v>
      </c>
      <c r="E105">
        <f>AVERAGE(E101,E107)*$O$12</f>
        <v>150</v>
      </c>
      <c r="F105" s="264"/>
      <c r="O105" s="149"/>
      <c r="P105" s="149"/>
      <c r="V105" s="167"/>
      <c r="W105" s="167"/>
      <c r="X105" s="167"/>
      <c r="Y105" s="167"/>
      <c r="Z105" s="167"/>
    </row>
    <row r="106" spans="2:26" ht="12.75" customHeight="1">
      <c r="E106" s="264"/>
      <c r="F106" s="264"/>
      <c r="O106" s="149"/>
      <c r="P106" s="149"/>
      <c r="V106" s="167"/>
      <c r="W106" s="167"/>
      <c r="X106" s="167"/>
      <c r="Y106" s="167"/>
      <c r="Z106" s="167"/>
    </row>
    <row r="107" spans="2:26" ht="12.75" customHeight="1">
      <c r="B107" s="290" t="s">
        <v>196</v>
      </c>
      <c r="C107" s="291">
        <f>C101+C102</f>
        <v>1500</v>
      </c>
      <c r="D107" s="291">
        <f>D101+D102</f>
        <v>1500</v>
      </c>
      <c r="E107" s="291">
        <f>E101+E102</f>
        <v>1500</v>
      </c>
      <c r="F107" s="264"/>
      <c r="O107" s="149"/>
      <c r="P107" s="149"/>
      <c r="V107" s="167"/>
      <c r="W107" s="167"/>
      <c r="X107" s="167"/>
      <c r="Y107" s="167"/>
      <c r="Z107" s="167"/>
    </row>
    <row r="108" spans="2:26" ht="12.75" customHeight="1">
      <c r="B108" s="282" t="s">
        <v>215</v>
      </c>
      <c r="C108" s="283" t="s">
        <v>191</v>
      </c>
      <c r="D108" s="283" t="s">
        <v>191</v>
      </c>
      <c r="E108" s="283" t="s">
        <v>191</v>
      </c>
      <c r="F108" s="264"/>
      <c r="O108" s="149"/>
      <c r="P108" s="149"/>
      <c r="V108" s="167"/>
      <c r="W108" s="167"/>
      <c r="X108" s="167"/>
      <c r="Y108" s="167"/>
      <c r="Z108" s="167"/>
    </row>
    <row r="109" spans="2:26" ht="12.75" customHeight="1">
      <c r="B109" s="286" t="s">
        <v>194</v>
      </c>
      <c r="C109" s="287">
        <f>G16</f>
        <v>1100</v>
      </c>
      <c r="D109" s="287">
        <f>C115</f>
        <v>1100</v>
      </c>
      <c r="E109" s="287">
        <f>D115</f>
        <v>1100</v>
      </c>
      <c r="F109" s="264"/>
      <c r="O109" s="149"/>
      <c r="P109" s="149"/>
      <c r="V109" s="167"/>
      <c r="W109" s="167"/>
      <c r="X109" s="167"/>
      <c r="Y109" s="167"/>
      <c r="Z109" s="167"/>
    </row>
    <row r="110" spans="2:26" ht="12.75" customHeight="1">
      <c r="B110" s="286" t="s">
        <v>209</v>
      </c>
      <c r="E110" s="264"/>
      <c r="F110" s="264"/>
      <c r="O110" s="149"/>
      <c r="P110" s="149"/>
      <c r="V110" s="167"/>
      <c r="W110" s="167"/>
      <c r="X110" s="167"/>
      <c r="Y110" s="167"/>
      <c r="Z110" s="167"/>
    </row>
    <row r="111" spans="2:26" ht="12.75" customHeight="1">
      <c r="E111" s="264"/>
      <c r="F111" s="264"/>
      <c r="O111" s="149"/>
      <c r="P111" s="149"/>
      <c r="V111" s="167"/>
      <c r="W111" s="167"/>
      <c r="X111" s="167"/>
      <c r="Y111" s="167"/>
      <c r="Z111" s="167"/>
    </row>
    <row r="112" spans="2:26" ht="12.75" customHeight="1">
      <c r="B112" s="288" t="s">
        <v>210</v>
      </c>
      <c r="C112" s="265">
        <v>0</v>
      </c>
      <c r="D112" s="265">
        <v>0</v>
      </c>
      <c r="E112" s="265">
        <v>0</v>
      </c>
      <c r="F112" s="264"/>
      <c r="O112" s="149"/>
      <c r="P112" s="149"/>
      <c r="V112" s="167"/>
      <c r="W112" s="167"/>
      <c r="X112" s="167"/>
      <c r="Y112" s="167"/>
      <c r="Z112" s="167"/>
    </row>
    <row r="113" spans="2:26" ht="12.75" customHeight="1">
      <c r="B113" s="286" t="s">
        <v>211</v>
      </c>
      <c r="C113">
        <f>AVERAGE(C109,C115)*$O$16</f>
        <v>126.5</v>
      </c>
      <c r="D113">
        <f>AVERAGE(D109,D115)*$O$12</f>
        <v>110</v>
      </c>
      <c r="E113">
        <f>AVERAGE(E109,E115)*$O$12</f>
        <v>110</v>
      </c>
      <c r="F113" s="264"/>
      <c r="O113" s="149"/>
      <c r="P113" s="149"/>
      <c r="V113" s="167"/>
      <c r="W113" s="167"/>
      <c r="X113" s="167"/>
      <c r="Y113" s="167"/>
      <c r="Z113" s="167"/>
    </row>
    <row r="114" spans="2:26" ht="12.75" customHeight="1">
      <c r="E114" s="264"/>
      <c r="F114" s="264"/>
      <c r="O114" s="149"/>
      <c r="P114" s="149"/>
      <c r="V114" s="167"/>
      <c r="W114" s="167"/>
      <c r="X114" s="167"/>
      <c r="Y114" s="167"/>
      <c r="Z114" s="167"/>
    </row>
    <row r="115" spans="2:26" ht="12.75" customHeight="1">
      <c r="B115" s="290" t="s">
        <v>196</v>
      </c>
      <c r="C115" s="291">
        <f>C109+C110</f>
        <v>1100</v>
      </c>
      <c r="D115" s="291">
        <f>D109+D110</f>
        <v>1100</v>
      </c>
      <c r="E115" s="291">
        <f>E109+E110</f>
        <v>1100</v>
      </c>
      <c r="F115" s="264"/>
      <c r="O115" s="149"/>
      <c r="P115" s="149"/>
      <c r="V115" s="167"/>
      <c r="W115" s="167"/>
      <c r="X115" s="167"/>
      <c r="Y115" s="167"/>
      <c r="Z115" s="167"/>
    </row>
    <row r="116" spans="2:26" ht="12.75" customHeight="1">
      <c r="E116" s="264"/>
      <c r="F116" s="264"/>
      <c r="O116" s="149"/>
      <c r="P116" s="149"/>
      <c r="V116" s="167"/>
      <c r="W116" s="167"/>
      <c r="X116" s="167"/>
      <c r="Y116" s="167"/>
      <c r="Z116" s="167"/>
    </row>
    <row r="117" spans="2:26" ht="12.75" customHeight="1">
      <c r="B117" s="300" t="s">
        <v>216</v>
      </c>
      <c r="C117" s="301">
        <f ca="1">C89+C97+C105+C113</f>
        <v>367.03243498382392</v>
      </c>
      <c r="D117" s="301">
        <f ca="1">D89+D97+D105+D113</f>
        <v>372.1497160115216</v>
      </c>
      <c r="E117" s="301">
        <f ca="1">E89+E97+E105+E113</f>
        <v>385.42450000000002</v>
      </c>
      <c r="F117" s="264"/>
      <c r="O117" s="149"/>
      <c r="P117" s="149"/>
      <c r="V117" s="167"/>
      <c r="W117" s="167"/>
      <c r="X117" s="167"/>
      <c r="Y117" s="167"/>
      <c r="Z117" s="167"/>
    </row>
    <row r="118" spans="2:26" ht="12.75" customHeight="1">
      <c r="E118" s="264"/>
      <c r="F118" s="264"/>
      <c r="O118" s="149"/>
      <c r="P118" s="149"/>
      <c r="V118" s="167"/>
      <c r="W118" s="167"/>
      <c r="X118" s="167"/>
      <c r="Y118" s="167"/>
      <c r="Z118" s="167"/>
    </row>
    <row r="119" spans="2:26" ht="12.75" customHeight="1">
      <c r="E119" s="264"/>
      <c r="F119" s="264"/>
      <c r="O119" s="149"/>
      <c r="P119" s="149"/>
      <c r="V119" s="167"/>
      <c r="W119" s="167"/>
      <c r="X119" s="167"/>
      <c r="Y119" s="167"/>
      <c r="Z119" s="167"/>
    </row>
    <row r="120" spans="2:26" ht="12.75" customHeight="1">
      <c r="E120" s="264"/>
      <c r="F120" s="264"/>
      <c r="O120" s="149"/>
      <c r="P120" s="149"/>
      <c r="V120" s="167"/>
      <c r="W120" s="167"/>
      <c r="X120" s="167"/>
      <c r="Y120" s="167"/>
      <c r="Z120" s="167"/>
    </row>
    <row r="121" spans="2:26" ht="12.75" customHeight="1">
      <c r="E121" s="264"/>
      <c r="F121" s="264"/>
      <c r="O121" s="149"/>
      <c r="P121" s="149"/>
      <c r="V121" s="167"/>
      <c r="W121" s="167"/>
      <c r="X121" s="167"/>
      <c r="Y121" s="167"/>
      <c r="Z121" s="167"/>
    </row>
    <row r="122" spans="2:26" ht="12.75" customHeight="1">
      <c r="E122" s="264"/>
      <c r="F122" s="264"/>
      <c r="O122" s="149"/>
      <c r="P122" s="149"/>
      <c r="V122" s="167"/>
      <c r="W122" s="167"/>
      <c r="X122" s="167"/>
      <c r="Y122" s="167"/>
      <c r="Z122" s="167"/>
    </row>
    <row r="123" spans="2:26" ht="12.75" customHeight="1">
      <c r="E123" s="264"/>
      <c r="F123" s="264"/>
      <c r="O123" s="149"/>
      <c r="P123" s="149"/>
      <c r="V123" s="167"/>
      <c r="W123" s="167"/>
      <c r="X123" s="167"/>
      <c r="Y123" s="167"/>
      <c r="Z123" s="167"/>
    </row>
    <row r="124" spans="2:26" ht="12.75" customHeight="1">
      <c r="E124" s="264"/>
      <c r="F124" s="264"/>
      <c r="O124" s="149"/>
      <c r="P124" s="149"/>
      <c r="V124" s="167"/>
      <c r="W124" s="167"/>
      <c r="X124" s="167"/>
      <c r="Y124" s="167"/>
      <c r="Z124" s="167"/>
    </row>
    <row r="125" spans="2:26" ht="12.75" customHeight="1">
      <c r="E125" s="264"/>
      <c r="F125" s="264"/>
      <c r="O125" s="149"/>
      <c r="P125" s="149"/>
      <c r="V125" s="167"/>
      <c r="W125" s="167"/>
      <c r="X125" s="167"/>
      <c r="Y125" s="167"/>
      <c r="Z125" s="167"/>
    </row>
    <row r="126" spans="2:26" ht="12.75" customHeight="1">
      <c r="E126" s="264"/>
      <c r="F126" s="264"/>
      <c r="O126" s="149"/>
      <c r="P126" s="149"/>
      <c r="V126" s="167"/>
      <c r="W126" s="167"/>
      <c r="X126" s="167"/>
      <c r="Y126" s="167"/>
      <c r="Z126" s="167"/>
    </row>
    <row r="127" spans="2:26" ht="12.75" customHeight="1">
      <c r="E127" s="264"/>
      <c r="F127" s="264"/>
      <c r="O127" s="149"/>
      <c r="P127" s="149"/>
      <c r="V127" s="167"/>
      <c r="W127" s="167"/>
      <c r="X127" s="167"/>
      <c r="Y127" s="167"/>
      <c r="Z127" s="167"/>
    </row>
    <row r="128" spans="2:26" ht="12.75" customHeight="1">
      <c r="E128" s="264"/>
      <c r="F128" s="264"/>
      <c r="O128" s="149"/>
      <c r="P128" s="149"/>
      <c r="V128" s="167"/>
      <c r="W128" s="167"/>
      <c r="X128" s="167"/>
      <c r="Y128" s="167"/>
      <c r="Z128" s="167"/>
    </row>
    <row r="129" spans="5:26" ht="12.75" customHeight="1">
      <c r="E129" s="264"/>
      <c r="F129" s="264"/>
      <c r="O129" s="149"/>
      <c r="P129" s="149"/>
      <c r="V129" s="167"/>
      <c r="W129" s="167"/>
      <c r="X129" s="167"/>
      <c r="Y129" s="167"/>
      <c r="Z129" s="167"/>
    </row>
    <row r="130" spans="5:26" ht="12.75" customHeight="1">
      <c r="E130" s="264"/>
      <c r="F130" s="264"/>
      <c r="O130" s="149"/>
      <c r="P130" s="149"/>
      <c r="V130" s="167"/>
      <c r="W130" s="167"/>
      <c r="X130" s="167"/>
      <c r="Y130" s="167"/>
      <c r="Z130" s="167"/>
    </row>
    <row r="131" spans="5:26" ht="12.75" customHeight="1">
      <c r="E131" s="264"/>
      <c r="F131" s="264"/>
      <c r="O131" s="149"/>
      <c r="P131" s="149"/>
      <c r="V131" s="167"/>
      <c r="W131" s="167"/>
      <c r="X131" s="167"/>
      <c r="Y131" s="167"/>
      <c r="Z131" s="167"/>
    </row>
    <row r="132" spans="5:26" ht="12.75" customHeight="1">
      <c r="E132" s="264"/>
      <c r="F132" s="264"/>
      <c r="O132" s="149"/>
      <c r="P132" s="149"/>
      <c r="V132" s="167"/>
      <c r="W132" s="167"/>
      <c r="X132" s="167"/>
      <c r="Y132" s="167"/>
      <c r="Z132" s="167"/>
    </row>
    <row r="133" spans="5:26" ht="12.75" customHeight="1">
      <c r="E133" s="264"/>
      <c r="F133" s="264"/>
      <c r="O133" s="149"/>
      <c r="P133" s="149"/>
      <c r="V133" s="167"/>
      <c r="W133" s="167"/>
      <c r="X133" s="167"/>
      <c r="Y133" s="167"/>
      <c r="Z133" s="167"/>
    </row>
    <row r="134" spans="5:26" ht="12.75" customHeight="1">
      <c r="E134" s="264"/>
      <c r="F134" s="264"/>
      <c r="O134" s="149"/>
      <c r="P134" s="149"/>
      <c r="V134" s="167"/>
      <c r="W134" s="167"/>
      <c r="X134" s="167"/>
      <c r="Y134" s="167"/>
      <c r="Z134" s="167"/>
    </row>
    <row r="135" spans="5:26" ht="12.75" customHeight="1">
      <c r="E135" s="264"/>
      <c r="F135" s="264"/>
      <c r="O135" s="149"/>
      <c r="P135" s="149"/>
      <c r="V135" s="167"/>
      <c r="W135" s="167"/>
      <c r="X135" s="167"/>
      <c r="Y135" s="167"/>
      <c r="Z135" s="167"/>
    </row>
    <row r="136" spans="5:26" ht="12.75" customHeight="1">
      <c r="E136" s="264"/>
      <c r="F136" s="264"/>
      <c r="O136" s="149"/>
      <c r="P136" s="149"/>
      <c r="V136" s="167"/>
      <c r="W136" s="167"/>
      <c r="X136" s="167"/>
      <c r="Y136" s="167"/>
      <c r="Z136" s="167"/>
    </row>
    <row r="137" spans="5:26" ht="12.75" customHeight="1">
      <c r="E137" s="264"/>
      <c r="F137" s="264"/>
      <c r="O137" s="149"/>
      <c r="P137" s="149"/>
      <c r="V137" s="167"/>
      <c r="W137" s="167"/>
      <c r="X137" s="167"/>
      <c r="Y137" s="167"/>
      <c r="Z137" s="167"/>
    </row>
    <row r="138" spans="5:26" ht="12.75" customHeight="1">
      <c r="E138" s="264"/>
      <c r="F138" s="264"/>
      <c r="O138" s="149"/>
      <c r="P138" s="149"/>
      <c r="V138" s="167"/>
      <c r="W138" s="167"/>
      <c r="X138" s="167"/>
      <c r="Y138" s="167"/>
      <c r="Z138" s="167"/>
    </row>
    <row r="139" spans="5:26" ht="12.75" customHeight="1">
      <c r="E139" s="264"/>
      <c r="F139" s="264"/>
      <c r="O139" s="149"/>
      <c r="P139" s="149"/>
      <c r="V139" s="167"/>
      <c r="W139" s="167"/>
      <c r="X139" s="167"/>
      <c r="Y139" s="167"/>
      <c r="Z139" s="167"/>
    </row>
    <row r="140" spans="5:26" ht="12.75" customHeight="1">
      <c r="E140" s="264"/>
      <c r="F140" s="264"/>
      <c r="O140" s="149"/>
      <c r="P140" s="149"/>
      <c r="V140" s="167"/>
      <c r="W140" s="167"/>
      <c r="X140" s="167"/>
      <c r="Y140" s="167"/>
      <c r="Z140" s="167"/>
    </row>
    <row r="141" spans="5:26" ht="12.75" customHeight="1">
      <c r="E141" s="264"/>
      <c r="F141" s="264"/>
      <c r="O141" s="149"/>
      <c r="P141" s="149"/>
      <c r="V141" s="167"/>
      <c r="W141" s="167"/>
      <c r="X141" s="167"/>
      <c r="Y141" s="167"/>
      <c r="Z141" s="167"/>
    </row>
    <row r="142" spans="5:26" ht="12.75" customHeight="1">
      <c r="E142" s="264"/>
      <c r="F142" s="264"/>
      <c r="O142" s="149"/>
      <c r="P142" s="149"/>
      <c r="V142" s="167"/>
      <c r="W142" s="167"/>
      <c r="X142" s="167"/>
      <c r="Y142" s="167"/>
      <c r="Z142" s="167"/>
    </row>
    <row r="143" spans="5:26" ht="12.75" customHeight="1">
      <c r="E143" s="264"/>
      <c r="F143" s="264"/>
      <c r="O143" s="149"/>
      <c r="P143" s="149"/>
      <c r="V143" s="167"/>
      <c r="W143" s="167"/>
      <c r="X143" s="167"/>
      <c r="Y143" s="167"/>
      <c r="Z143" s="167"/>
    </row>
    <row r="144" spans="5:26" ht="12.75" customHeight="1">
      <c r="E144" s="264"/>
      <c r="F144" s="264"/>
      <c r="O144" s="149"/>
      <c r="P144" s="149"/>
      <c r="V144" s="167"/>
      <c r="W144" s="167"/>
      <c r="X144" s="167"/>
      <c r="Y144" s="167"/>
      <c r="Z144" s="167"/>
    </row>
    <row r="145" spans="5:26" ht="12.75" customHeight="1">
      <c r="E145" s="264"/>
      <c r="F145" s="264"/>
      <c r="O145" s="149"/>
      <c r="P145" s="149"/>
      <c r="V145" s="167"/>
      <c r="W145" s="167"/>
      <c r="X145" s="167"/>
      <c r="Y145" s="167"/>
      <c r="Z145" s="167"/>
    </row>
    <row r="146" spans="5:26" ht="12.75" customHeight="1">
      <c r="E146" s="264"/>
      <c r="F146" s="264"/>
      <c r="O146" s="149"/>
      <c r="P146" s="149"/>
      <c r="V146" s="167"/>
      <c r="W146" s="167"/>
      <c r="X146" s="167"/>
      <c r="Y146" s="167"/>
      <c r="Z146" s="167"/>
    </row>
    <row r="147" spans="5:26" ht="12.75" customHeight="1">
      <c r="E147" s="264"/>
      <c r="F147" s="264"/>
      <c r="O147" s="149"/>
      <c r="P147" s="149"/>
      <c r="V147" s="167"/>
      <c r="W147" s="167"/>
      <c r="X147" s="167"/>
      <c r="Y147" s="167"/>
      <c r="Z147" s="167"/>
    </row>
    <row r="148" spans="5:26" ht="12.75" customHeight="1">
      <c r="E148" s="264"/>
      <c r="F148" s="264"/>
      <c r="O148" s="149"/>
      <c r="P148" s="149"/>
      <c r="V148" s="167"/>
      <c r="W148" s="167"/>
      <c r="X148" s="167"/>
      <c r="Y148" s="167"/>
      <c r="Z148" s="167"/>
    </row>
    <row r="149" spans="5:26" ht="12.75" customHeight="1">
      <c r="E149" s="264"/>
      <c r="F149" s="264"/>
      <c r="O149" s="149"/>
      <c r="P149" s="149"/>
      <c r="V149" s="167"/>
      <c r="W149" s="167"/>
      <c r="X149" s="167"/>
      <c r="Y149" s="167"/>
      <c r="Z149" s="167"/>
    </row>
    <row r="150" spans="5:26" ht="12.75" customHeight="1">
      <c r="E150" s="264"/>
      <c r="F150" s="264"/>
      <c r="O150" s="149"/>
      <c r="P150" s="149"/>
      <c r="V150" s="167"/>
      <c r="W150" s="167"/>
      <c r="X150" s="167"/>
      <c r="Y150" s="167"/>
      <c r="Z150" s="167"/>
    </row>
    <row r="151" spans="5:26" ht="12.75" customHeight="1">
      <c r="E151" s="264"/>
      <c r="F151" s="264"/>
      <c r="O151" s="149"/>
      <c r="P151" s="149"/>
      <c r="V151" s="167"/>
      <c r="W151" s="167"/>
      <c r="X151" s="167"/>
      <c r="Y151" s="167"/>
      <c r="Z151" s="167"/>
    </row>
    <row r="152" spans="5:26" ht="12.75" customHeight="1">
      <c r="E152" s="264"/>
      <c r="F152" s="264"/>
      <c r="O152" s="149"/>
      <c r="P152" s="149"/>
      <c r="V152" s="167"/>
      <c r="W152" s="167"/>
      <c r="X152" s="167"/>
      <c r="Y152" s="167"/>
      <c r="Z152" s="167"/>
    </row>
    <row r="153" spans="5:26" ht="12.75" customHeight="1">
      <c r="E153" s="264"/>
      <c r="F153" s="264"/>
      <c r="O153" s="149"/>
      <c r="P153" s="149"/>
      <c r="V153" s="167"/>
      <c r="W153" s="167"/>
      <c r="X153" s="167"/>
      <c r="Y153" s="167"/>
      <c r="Z153" s="167"/>
    </row>
    <row r="154" spans="5:26" ht="12.75" customHeight="1">
      <c r="E154" s="264"/>
      <c r="F154" s="264"/>
      <c r="O154" s="149"/>
      <c r="P154" s="149"/>
      <c r="V154" s="167"/>
      <c r="W154" s="167"/>
      <c r="X154" s="167"/>
      <c r="Y154" s="167"/>
      <c r="Z154" s="167"/>
    </row>
    <row r="155" spans="5:26" ht="12.75" customHeight="1">
      <c r="E155" s="264"/>
      <c r="F155" s="264"/>
      <c r="O155" s="149"/>
      <c r="P155" s="149"/>
      <c r="V155" s="167"/>
      <c r="W155" s="167"/>
      <c r="X155" s="167"/>
      <c r="Y155" s="167"/>
      <c r="Z155" s="167"/>
    </row>
    <row r="156" spans="5:26" ht="12.75" customHeight="1">
      <c r="E156" s="264"/>
      <c r="F156" s="264"/>
      <c r="O156" s="149"/>
      <c r="P156" s="149"/>
      <c r="V156" s="167"/>
      <c r="W156" s="167"/>
      <c r="X156" s="167"/>
      <c r="Y156" s="167"/>
      <c r="Z156" s="167"/>
    </row>
    <row r="157" spans="5:26" ht="12.75" customHeight="1">
      <c r="E157" s="264"/>
      <c r="F157" s="264"/>
      <c r="O157" s="149"/>
      <c r="P157" s="149"/>
      <c r="V157" s="167"/>
      <c r="W157" s="167"/>
      <c r="X157" s="167"/>
      <c r="Y157" s="167"/>
      <c r="Z157" s="167"/>
    </row>
    <row r="158" spans="5:26" ht="12.75" customHeight="1">
      <c r="E158" s="264"/>
      <c r="F158" s="264"/>
      <c r="O158" s="149"/>
      <c r="P158" s="149"/>
      <c r="V158" s="167"/>
      <c r="W158" s="167"/>
      <c r="X158" s="167"/>
      <c r="Y158" s="167"/>
      <c r="Z158" s="167"/>
    </row>
    <row r="159" spans="5:26" ht="12.75" customHeight="1">
      <c r="E159" s="264"/>
      <c r="F159" s="264"/>
      <c r="O159" s="149"/>
      <c r="P159" s="149"/>
      <c r="V159" s="167"/>
      <c r="W159" s="167"/>
      <c r="X159" s="167"/>
      <c r="Y159" s="167"/>
      <c r="Z159" s="167"/>
    </row>
    <row r="160" spans="5:26" ht="12.75" customHeight="1">
      <c r="E160" s="264"/>
      <c r="F160" s="264"/>
      <c r="O160" s="149"/>
      <c r="P160" s="149"/>
      <c r="V160" s="167"/>
      <c r="W160" s="167"/>
      <c r="X160" s="167"/>
      <c r="Y160" s="167"/>
      <c r="Z160" s="167"/>
    </row>
    <row r="161" spans="5:26" ht="12.75" customHeight="1">
      <c r="E161" s="264"/>
      <c r="F161" s="264"/>
      <c r="O161" s="149"/>
      <c r="P161" s="149"/>
      <c r="V161" s="167"/>
      <c r="W161" s="167"/>
      <c r="X161" s="167"/>
      <c r="Y161" s="167"/>
      <c r="Z161" s="167"/>
    </row>
    <row r="162" spans="5:26" ht="12.75" customHeight="1">
      <c r="E162" s="264"/>
      <c r="F162" s="264"/>
      <c r="O162" s="149"/>
      <c r="P162" s="149"/>
      <c r="V162" s="167"/>
      <c r="W162" s="167"/>
      <c r="X162" s="167"/>
      <c r="Y162" s="167"/>
      <c r="Z162" s="167"/>
    </row>
    <row r="163" spans="5:26" ht="12.75" customHeight="1">
      <c r="E163" s="264"/>
      <c r="F163" s="264"/>
      <c r="O163" s="149"/>
      <c r="P163" s="149"/>
      <c r="V163" s="167"/>
      <c r="W163" s="167"/>
      <c r="X163" s="167"/>
      <c r="Y163" s="167"/>
      <c r="Z163" s="167"/>
    </row>
    <row r="164" spans="5:26" ht="12.75" customHeight="1">
      <c r="E164" s="264"/>
      <c r="F164" s="264"/>
      <c r="O164" s="149"/>
      <c r="P164" s="149"/>
      <c r="V164" s="167"/>
      <c r="W164" s="167"/>
      <c r="X164" s="167"/>
      <c r="Y164" s="167"/>
      <c r="Z164" s="167"/>
    </row>
    <row r="165" spans="5:26" ht="12.75" customHeight="1">
      <c r="E165" s="264"/>
      <c r="F165" s="264"/>
      <c r="O165" s="149"/>
      <c r="P165" s="149"/>
      <c r="V165" s="167"/>
      <c r="W165" s="167"/>
      <c r="X165" s="167"/>
      <c r="Y165" s="167"/>
      <c r="Z165" s="167"/>
    </row>
    <row r="166" spans="5:26" ht="12.75" customHeight="1">
      <c r="E166" s="264"/>
      <c r="F166" s="264"/>
      <c r="O166" s="149"/>
      <c r="P166" s="149"/>
      <c r="V166" s="167"/>
      <c r="W166" s="167"/>
      <c r="X166" s="167"/>
      <c r="Y166" s="167"/>
      <c r="Z166" s="167"/>
    </row>
    <row r="167" spans="5:26" ht="12.75" customHeight="1">
      <c r="E167" s="264"/>
      <c r="F167" s="264"/>
      <c r="O167" s="149"/>
      <c r="P167" s="149"/>
      <c r="V167" s="167"/>
      <c r="W167" s="167"/>
      <c r="X167" s="167"/>
      <c r="Y167" s="167"/>
      <c r="Z167" s="167"/>
    </row>
    <row r="168" spans="5:26" ht="12.75" customHeight="1">
      <c r="E168" s="264"/>
      <c r="F168" s="264"/>
      <c r="O168" s="149"/>
      <c r="P168" s="149"/>
      <c r="V168" s="167"/>
      <c r="W168" s="167"/>
      <c r="X168" s="167"/>
      <c r="Y168" s="167"/>
      <c r="Z168" s="167"/>
    </row>
    <row r="169" spans="5:26" ht="12.75" customHeight="1">
      <c r="E169" s="264"/>
      <c r="F169" s="264"/>
      <c r="O169" s="149"/>
      <c r="P169" s="149"/>
      <c r="V169" s="167"/>
      <c r="W169" s="167"/>
      <c r="X169" s="167"/>
      <c r="Y169" s="167"/>
      <c r="Z169" s="167"/>
    </row>
    <row r="170" spans="5:26" ht="12.75" customHeight="1">
      <c r="E170" s="264"/>
      <c r="F170" s="264"/>
      <c r="O170" s="149"/>
      <c r="P170" s="149"/>
      <c r="V170" s="167"/>
      <c r="W170" s="167"/>
      <c r="X170" s="167"/>
      <c r="Y170" s="167"/>
      <c r="Z170" s="167"/>
    </row>
    <row r="171" spans="5:26" ht="12.75" customHeight="1">
      <c r="E171" s="264"/>
      <c r="F171" s="264"/>
      <c r="O171" s="149"/>
      <c r="P171" s="149"/>
      <c r="V171" s="167"/>
      <c r="W171" s="167"/>
      <c r="X171" s="167"/>
      <c r="Y171" s="167"/>
      <c r="Z171" s="167"/>
    </row>
    <row r="172" spans="5:26" ht="12.75" customHeight="1">
      <c r="E172" s="264"/>
      <c r="F172" s="264"/>
      <c r="O172" s="149"/>
      <c r="P172" s="149"/>
      <c r="V172" s="167"/>
      <c r="W172" s="167"/>
      <c r="X172" s="167"/>
      <c r="Y172" s="167"/>
      <c r="Z172" s="167"/>
    </row>
    <row r="173" spans="5:26" ht="12.75" customHeight="1">
      <c r="E173" s="264"/>
      <c r="F173" s="264"/>
      <c r="O173" s="149"/>
      <c r="P173" s="149"/>
      <c r="V173" s="167"/>
      <c r="W173" s="167"/>
      <c r="X173" s="167"/>
      <c r="Y173" s="167"/>
      <c r="Z173" s="167"/>
    </row>
    <row r="174" spans="5:26" ht="12.75" customHeight="1">
      <c r="E174" s="264"/>
      <c r="F174" s="264"/>
      <c r="O174" s="149"/>
      <c r="P174" s="149"/>
      <c r="V174" s="167"/>
      <c r="W174" s="167"/>
      <c r="X174" s="167"/>
      <c r="Y174" s="167"/>
      <c r="Z174" s="167"/>
    </row>
    <row r="175" spans="5:26" ht="12.75" customHeight="1">
      <c r="E175" s="264"/>
      <c r="F175" s="264"/>
      <c r="O175" s="149"/>
      <c r="P175" s="149"/>
      <c r="V175" s="167"/>
      <c r="W175" s="167"/>
      <c r="X175" s="167"/>
      <c r="Y175" s="167"/>
      <c r="Z175" s="167"/>
    </row>
    <row r="176" spans="5:26" ht="12.75" customHeight="1">
      <c r="E176" s="264"/>
      <c r="F176" s="264"/>
      <c r="O176" s="149"/>
      <c r="P176" s="149"/>
      <c r="V176" s="167"/>
      <c r="W176" s="167"/>
      <c r="X176" s="167"/>
      <c r="Y176" s="167"/>
      <c r="Z176" s="167"/>
    </row>
    <row r="177" spans="5:26" ht="12.75" customHeight="1">
      <c r="E177" s="264"/>
      <c r="F177" s="264"/>
      <c r="O177" s="149"/>
      <c r="P177" s="149"/>
      <c r="V177" s="167"/>
      <c r="W177" s="167"/>
      <c r="X177" s="167"/>
      <c r="Y177" s="167"/>
      <c r="Z177" s="167"/>
    </row>
    <row r="178" spans="5:26" ht="12.75" customHeight="1">
      <c r="E178" s="264"/>
      <c r="F178" s="264"/>
      <c r="O178" s="149"/>
      <c r="P178" s="149"/>
      <c r="V178" s="167"/>
      <c r="W178" s="167"/>
      <c r="X178" s="167"/>
      <c r="Y178" s="167"/>
      <c r="Z178" s="167"/>
    </row>
    <row r="179" spans="5:26" ht="12.75" customHeight="1">
      <c r="E179" s="264"/>
      <c r="F179" s="264"/>
      <c r="O179" s="149"/>
      <c r="P179" s="149"/>
      <c r="V179" s="167"/>
      <c r="W179" s="167"/>
      <c r="X179" s="167"/>
      <c r="Y179" s="167"/>
      <c r="Z179" s="167"/>
    </row>
    <row r="180" spans="5:26" ht="12.75" customHeight="1">
      <c r="E180" s="264"/>
      <c r="F180" s="264"/>
      <c r="O180" s="149"/>
      <c r="P180" s="149"/>
      <c r="V180" s="167"/>
      <c r="W180" s="167"/>
      <c r="X180" s="167"/>
      <c r="Y180" s="167"/>
      <c r="Z180" s="167"/>
    </row>
    <row r="181" spans="5:26" ht="12.75" customHeight="1">
      <c r="E181" s="264"/>
      <c r="F181" s="264"/>
      <c r="O181" s="149"/>
      <c r="P181" s="149"/>
      <c r="V181" s="167"/>
      <c r="W181" s="167"/>
      <c r="X181" s="167"/>
      <c r="Y181" s="167"/>
      <c r="Z181" s="167"/>
    </row>
    <row r="182" spans="5:26" ht="12.75" customHeight="1">
      <c r="E182" s="264"/>
      <c r="F182" s="264"/>
      <c r="O182" s="149"/>
      <c r="P182" s="149"/>
      <c r="V182" s="167"/>
      <c r="W182" s="167"/>
      <c r="X182" s="167"/>
      <c r="Y182" s="167"/>
      <c r="Z182" s="167"/>
    </row>
    <row r="183" spans="5:26" ht="12.75" customHeight="1">
      <c r="E183" s="264"/>
      <c r="F183" s="264"/>
      <c r="O183" s="149"/>
      <c r="P183" s="149"/>
      <c r="V183" s="167"/>
      <c r="W183" s="167"/>
      <c r="X183" s="167"/>
      <c r="Y183" s="167"/>
      <c r="Z183" s="167"/>
    </row>
    <row r="184" spans="5:26" ht="12.75" customHeight="1">
      <c r="E184" s="264"/>
      <c r="F184" s="264"/>
      <c r="O184" s="149"/>
      <c r="P184" s="149"/>
      <c r="V184" s="167"/>
      <c r="W184" s="167"/>
      <c r="X184" s="167"/>
      <c r="Y184" s="167"/>
      <c r="Z184" s="167"/>
    </row>
    <row r="185" spans="5:26" ht="12.75" customHeight="1">
      <c r="E185" s="264"/>
      <c r="F185" s="264"/>
      <c r="O185" s="149"/>
      <c r="P185" s="149"/>
      <c r="V185" s="167"/>
      <c r="W185" s="167"/>
      <c r="X185" s="167"/>
      <c r="Y185" s="167"/>
      <c r="Z185" s="167"/>
    </row>
    <row r="186" spans="5:26" ht="12.75" customHeight="1">
      <c r="E186" s="264"/>
      <c r="F186" s="264"/>
      <c r="O186" s="149"/>
      <c r="P186" s="149"/>
      <c r="V186" s="167"/>
      <c r="W186" s="167"/>
      <c r="X186" s="167"/>
      <c r="Y186" s="167"/>
      <c r="Z186" s="167"/>
    </row>
    <row r="187" spans="5:26" ht="12.75" customHeight="1">
      <c r="E187" s="264"/>
      <c r="F187" s="264"/>
      <c r="O187" s="149"/>
      <c r="P187" s="149"/>
      <c r="V187" s="167"/>
      <c r="W187" s="167"/>
      <c r="X187" s="167"/>
      <c r="Y187" s="167"/>
      <c r="Z187" s="167"/>
    </row>
    <row r="188" spans="5:26" ht="12.75" customHeight="1">
      <c r="E188" s="264"/>
      <c r="F188" s="264"/>
      <c r="O188" s="149"/>
      <c r="P188" s="149"/>
      <c r="V188" s="167"/>
      <c r="W188" s="167"/>
      <c r="X188" s="167"/>
      <c r="Y188" s="167"/>
      <c r="Z188" s="167"/>
    </row>
    <row r="189" spans="5:26" ht="12.75" customHeight="1">
      <c r="E189" s="264"/>
      <c r="F189" s="264"/>
      <c r="O189" s="149"/>
      <c r="P189" s="149"/>
      <c r="V189" s="167"/>
      <c r="W189" s="167"/>
      <c r="X189" s="167"/>
      <c r="Y189" s="167"/>
      <c r="Z189" s="167"/>
    </row>
    <row r="190" spans="5:26" ht="12.75" customHeight="1">
      <c r="E190" s="264"/>
      <c r="F190" s="264"/>
      <c r="O190" s="149"/>
      <c r="P190" s="149"/>
      <c r="V190" s="167"/>
      <c r="W190" s="167"/>
      <c r="X190" s="167"/>
      <c r="Y190" s="167"/>
      <c r="Z190" s="167"/>
    </row>
    <row r="191" spans="5:26" ht="12.75" customHeight="1">
      <c r="E191" s="264"/>
      <c r="F191" s="264"/>
      <c r="O191" s="149"/>
      <c r="P191" s="149"/>
      <c r="V191" s="167"/>
      <c r="W191" s="167"/>
      <c r="X191" s="167"/>
      <c r="Y191" s="167"/>
      <c r="Z191" s="167"/>
    </row>
    <row r="192" spans="5:26" ht="12.75" customHeight="1">
      <c r="E192" s="264"/>
      <c r="F192" s="264"/>
      <c r="O192" s="149"/>
      <c r="P192" s="149"/>
      <c r="V192" s="167"/>
      <c r="W192" s="167"/>
      <c r="X192" s="167"/>
      <c r="Y192" s="167"/>
      <c r="Z192" s="167"/>
    </row>
    <row r="193" spans="5:26" ht="12.75" customHeight="1">
      <c r="E193" s="264"/>
      <c r="F193" s="264"/>
      <c r="O193" s="149"/>
      <c r="P193" s="149"/>
      <c r="V193" s="167"/>
      <c r="W193" s="167"/>
      <c r="X193" s="167"/>
      <c r="Y193" s="167"/>
      <c r="Z193" s="167"/>
    </row>
    <row r="194" spans="5:26" ht="12.75" customHeight="1">
      <c r="E194" s="264"/>
      <c r="F194" s="264"/>
      <c r="O194" s="149"/>
      <c r="P194" s="149"/>
      <c r="V194" s="167"/>
      <c r="W194" s="167"/>
      <c r="X194" s="167"/>
      <c r="Y194" s="167"/>
      <c r="Z194" s="167"/>
    </row>
    <row r="195" spans="5:26" ht="12.75" customHeight="1">
      <c r="E195" s="264"/>
      <c r="F195" s="264"/>
      <c r="O195" s="149"/>
      <c r="P195" s="149"/>
      <c r="V195" s="167"/>
      <c r="W195" s="167"/>
      <c r="X195" s="167"/>
      <c r="Y195" s="167"/>
      <c r="Z195" s="167"/>
    </row>
    <row r="196" spans="5:26" ht="12.75" customHeight="1">
      <c r="E196" s="264"/>
      <c r="F196" s="264"/>
      <c r="O196" s="149"/>
      <c r="P196" s="149"/>
      <c r="V196" s="167"/>
      <c r="W196" s="167"/>
      <c r="X196" s="167"/>
      <c r="Y196" s="167"/>
      <c r="Z196" s="167"/>
    </row>
    <row r="197" spans="5:26" ht="12.75" customHeight="1">
      <c r="E197" s="264"/>
      <c r="F197" s="264"/>
      <c r="O197" s="149"/>
      <c r="P197" s="149"/>
      <c r="V197" s="167"/>
      <c r="W197" s="167"/>
      <c r="X197" s="167"/>
      <c r="Y197" s="167"/>
      <c r="Z197" s="167"/>
    </row>
    <row r="198" spans="5:26" ht="12.75" customHeight="1">
      <c r="E198" s="264"/>
      <c r="F198" s="264"/>
      <c r="O198" s="149"/>
      <c r="P198" s="149"/>
      <c r="V198" s="167"/>
      <c r="W198" s="167"/>
      <c r="X198" s="167"/>
      <c r="Y198" s="167"/>
      <c r="Z198" s="167"/>
    </row>
    <row r="199" spans="5:26" ht="12.75" customHeight="1">
      <c r="E199" s="264"/>
      <c r="F199" s="264"/>
      <c r="O199" s="149"/>
      <c r="P199" s="149"/>
      <c r="V199" s="167"/>
      <c r="W199" s="167"/>
      <c r="X199" s="167"/>
      <c r="Y199" s="167"/>
      <c r="Z199" s="167"/>
    </row>
    <row r="200" spans="5:26" ht="12.75" customHeight="1">
      <c r="E200" s="264"/>
      <c r="F200" s="264"/>
      <c r="O200" s="149"/>
      <c r="P200" s="149"/>
      <c r="V200" s="167"/>
      <c r="W200" s="167"/>
      <c r="X200" s="167"/>
      <c r="Y200" s="167"/>
      <c r="Z200" s="167"/>
    </row>
    <row r="201" spans="5:26" ht="12.75" customHeight="1">
      <c r="E201" s="264"/>
      <c r="F201" s="264"/>
      <c r="O201" s="149"/>
      <c r="P201" s="149"/>
      <c r="V201" s="167"/>
      <c r="W201" s="167"/>
      <c r="X201" s="167"/>
      <c r="Y201" s="167"/>
      <c r="Z201" s="167"/>
    </row>
    <row r="202" spans="5:26" ht="12.75" customHeight="1">
      <c r="E202" s="264"/>
      <c r="F202" s="264"/>
      <c r="O202" s="149"/>
      <c r="P202" s="149"/>
      <c r="V202" s="167"/>
      <c r="W202" s="167"/>
      <c r="X202" s="167"/>
      <c r="Y202" s="167"/>
      <c r="Z202" s="167"/>
    </row>
    <row r="203" spans="5:26" ht="12.75" customHeight="1">
      <c r="E203" s="264"/>
      <c r="F203" s="264"/>
      <c r="O203" s="149"/>
      <c r="P203" s="149"/>
      <c r="V203" s="167"/>
      <c r="W203" s="167"/>
      <c r="X203" s="167"/>
      <c r="Y203" s="167"/>
      <c r="Z203" s="167"/>
    </row>
    <row r="204" spans="5:26" ht="12.75" customHeight="1">
      <c r="E204" s="264"/>
      <c r="F204" s="264"/>
      <c r="O204" s="149"/>
      <c r="P204" s="149"/>
      <c r="V204" s="167"/>
      <c r="W204" s="167"/>
      <c r="X204" s="167"/>
      <c r="Y204" s="167"/>
      <c r="Z204" s="167"/>
    </row>
    <row r="205" spans="5:26" ht="12.75" customHeight="1">
      <c r="E205" s="264"/>
      <c r="F205" s="264"/>
      <c r="O205" s="149"/>
      <c r="P205" s="149"/>
      <c r="V205" s="167"/>
      <c r="W205" s="167"/>
      <c r="X205" s="167"/>
      <c r="Y205" s="167"/>
      <c r="Z205" s="167"/>
    </row>
    <row r="206" spans="5:26" ht="12.75" customHeight="1">
      <c r="E206" s="264"/>
      <c r="F206" s="264"/>
      <c r="O206" s="149"/>
      <c r="P206" s="149"/>
      <c r="V206" s="167"/>
      <c r="W206" s="167"/>
      <c r="X206" s="167"/>
      <c r="Y206" s="167"/>
      <c r="Z206" s="167"/>
    </row>
    <row r="207" spans="5:26" ht="12.75" customHeight="1">
      <c r="E207" s="264"/>
      <c r="F207" s="264"/>
      <c r="O207" s="149"/>
      <c r="P207" s="149"/>
      <c r="V207" s="167"/>
      <c r="W207" s="167"/>
      <c r="X207" s="167"/>
      <c r="Y207" s="167"/>
      <c r="Z207" s="167"/>
    </row>
    <row r="208" spans="5:26" ht="12.75" customHeight="1">
      <c r="E208" s="264"/>
      <c r="F208" s="264"/>
      <c r="O208" s="149"/>
      <c r="P208" s="149"/>
      <c r="V208" s="167"/>
      <c r="W208" s="167"/>
      <c r="X208" s="167"/>
      <c r="Y208" s="167"/>
      <c r="Z208" s="167"/>
    </row>
    <row r="209" spans="5:26" ht="12.75" customHeight="1">
      <c r="E209" s="264"/>
      <c r="F209" s="264"/>
      <c r="O209" s="149"/>
      <c r="P209" s="149"/>
      <c r="V209" s="167"/>
      <c r="W209" s="167"/>
      <c r="X209" s="167"/>
      <c r="Y209" s="167"/>
      <c r="Z209" s="167"/>
    </row>
    <row r="210" spans="5:26" ht="12.75" customHeight="1">
      <c r="E210" s="264"/>
      <c r="F210" s="264"/>
      <c r="O210" s="149"/>
      <c r="P210" s="149"/>
      <c r="V210" s="167"/>
      <c r="W210" s="167"/>
      <c r="X210" s="167"/>
      <c r="Y210" s="167"/>
      <c r="Z210" s="167"/>
    </row>
    <row r="211" spans="5:26" ht="12.75" customHeight="1">
      <c r="E211" s="264"/>
      <c r="F211" s="264"/>
      <c r="O211" s="149"/>
      <c r="P211" s="149"/>
      <c r="V211" s="167"/>
      <c r="W211" s="167"/>
      <c r="X211" s="167"/>
      <c r="Y211" s="167"/>
      <c r="Z211" s="167"/>
    </row>
    <row r="212" spans="5:26" ht="12.75" customHeight="1">
      <c r="E212" s="264"/>
      <c r="F212" s="264"/>
      <c r="O212" s="149"/>
      <c r="P212" s="149"/>
      <c r="V212" s="167"/>
      <c r="W212" s="167"/>
      <c r="X212" s="167"/>
      <c r="Y212" s="167"/>
      <c r="Z212" s="167"/>
    </row>
    <row r="213" spans="5:26" ht="12.75" customHeight="1">
      <c r="E213" s="264"/>
      <c r="F213" s="264"/>
      <c r="O213" s="149"/>
      <c r="P213" s="149"/>
      <c r="V213" s="167"/>
      <c r="W213" s="167"/>
      <c r="X213" s="167"/>
      <c r="Y213" s="167"/>
      <c r="Z213" s="167"/>
    </row>
    <row r="214" spans="5:26" ht="12.75" customHeight="1">
      <c r="E214" s="264"/>
      <c r="F214" s="264"/>
      <c r="O214" s="149"/>
      <c r="P214" s="149"/>
      <c r="V214" s="167"/>
      <c r="W214" s="167"/>
      <c r="X214" s="167"/>
      <c r="Y214" s="167"/>
      <c r="Z214" s="167"/>
    </row>
    <row r="215" spans="5:26" ht="12.75" customHeight="1">
      <c r="E215" s="264"/>
      <c r="F215" s="264"/>
      <c r="O215" s="149"/>
      <c r="P215" s="149"/>
      <c r="V215" s="167"/>
      <c r="W215" s="167"/>
      <c r="X215" s="167"/>
      <c r="Y215" s="167"/>
      <c r="Z215" s="167"/>
    </row>
    <row r="216" spans="5:26" ht="12.75" customHeight="1">
      <c r="E216" s="264"/>
      <c r="F216" s="264"/>
      <c r="O216" s="149"/>
      <c r="P216" s="149"/>
      <c r="V216" s="167"/>
      <c r="W216" s="167"/>
      <c r="X216" s="167"/>
      <c r="Y216" s="167"/>
      <c r="Z216" s="167"/>
    </row>
    <row r="217" spans="5:26" ht="12.75" customHeight="1">
      <c r="E217" s="264"/>
      <c r="F217" s="264"/>
      <c r="O217" s="149"/>
      <c r="P217" s="149"/>
      <c r="V217" s="167"/>
      <c r="W217" s="167"/>
      <c r="X217" s="167"/>
      <c r="Y217" s="167"/>
      <c r="Z217" s="167"/>
    </row>
    <row r="218" spans="5:26" ht="12.75" customHeight="1">
      <c r="E218" s="264"/>
      <c r="F218" s="264"/>
      <c r="O218" s="149"/>
      <c r="P218" s="149"/>
      <c r="V218" s="167"/>
      <c r="W218" s="167"/>
      <c r="X218" s="167"/>
      <c r="Y218" s="167"/>
      <c r="Z218" s="167"/>
    </row>
    <row r="219" spans="5:26" ht="12.75" customHeight="1">
      <c r="E219" s="264"/>
      <c r="F219" s="264"/>
      <c r="O219" s="149"/>
      <c r="P219" s="149"/>
      <c r="V219" s="167"/>
      <c r="W219" s="167"/>
      <c r="X219" s="167"/>
      <c r="Y219" s="167"/>
      <c r="Z219" s="167"/>
    </row>
    <row r="220" spans="5:26" ht="12.75" customHeight="1">
      <c r="E220" s="264"/>
      <c r="F220" s="264"/>
      <c r="O220" s="149"/>
      <c r="P220" s="149"/>
      <c r="V220" s="167"/>
      <c r="W220" s="167"/>
      <c r="X220" s="167"/>
      <c r="Y220" s="167"/>
      <c r="Z220" s="167"/>
    </row>
    <row r="221" spans="5:26" ht="12.75" customHeight="1">
      <c r="E221" s="264"/>
      <c r="F221" s="264"/>
      <c r="O221" s="149"/>
      <c r="P221" s="149"/>
      <c r="V221" s="167"/>
      <c r="W221" s="167"/>
      <c r="X221" s="167"/>
      <c r="Y221" s="167"/>
      <c r="Z221" s="167"/>
    </row>
    <row r="222" spans="5:26" ht="12.75" customHeight="1">
      <c r="E222" s="264"/>
      <c r="F222" s="264"/>
      <c r="O222" s="149"/>
      <c r="P222" s="149"/>
      <c r="V222" s="167"/>
      <c r="W222" s="167"/>
      <c r="X222" s="167"/>
      <c r="Y222" s="167"/>
      <c r="Z222" s="167"/>
    </row>
    <row r="223" spans="5:26" ht="12.75" customHeight="1">
      <c r="E223" s="264"/>
      <c r="F223" s="264"/>
      <c r="O223" s="149"/>
      <c r="P223" s="149"/>
      <c r="V223" s="167"/>
      <c r="W223" s="167"/>
      <c r="X223" s="167"/>
      <c r="Y223" s="167"/>
      <c r="Z223" s="167"/>
    </row>
    <row r="224" spans="5:26" ht="12.75" customHeight="1">
      <c r="E224" s="264"/>
      <c r="F224" s="264"/>
      <c r="O224" s="149"/>
      <c r="P224" s="149"/>
      <c r="V224" s="167"/>
      <c r="W224" s="167"/>
      <c r="X224" s="167"/>
      <c r="Y224" s="167"/>
      <c r="Z224" s="167"/>
    </row>
    <row r="225" spans="5:26" ht="12.75" customHeight="1">
      <c r="E225" s="264"/>
      <c r="F225" s="264"/>
      <c r="O225" s="149"/>
      <c r="P225" s="149"/>
      <c r="V225" s="167"/>
      <c r="W225" s="167"/>
      <c r="X225" s="167"/>
      <c r="Y225" s="167"/>
      <c r="Z225" s="167"/>
    </row>
    <row r="226" spans="5:26" ht="12.75" customHeight="1">
      <c r="E226" s="264"/>
      <c r="F226" s="264"/>
      <c r="O226" s="149"/>
      <c r="P226" s="149"/>
      <c r="V226" s="167"/>
      <c r="W226" s="167"/>
      <c r="X226" s="167"/>
      <c r="Y226" s="167"/>
      <c r="Z226" s="167"/>
    </row>
    <row r="227" spans="5:26" ht="12.75" customHeight="1">
      <c r="E227" s="264"/>
      <c r="F227" s="264"/>
      <c r="O227" s="149"/>
      <c r="P227" s="149"/>
      <c r="V227" s="167"/>
      <c r="W227" s="167"/>
      <c r="X227" s="167"/>
      <c r="Y227" s="167"/>
      <c r="Z227" s="167"/>
    </row>
    <row r="228" spans="5:26" ht="12.75" customHeight="1">
      <c r="E228" s="264"/>
      <c r="F228" s="264"/>
      <c r="O228" s="149"/>
      <c r="P228" s="149"/>
      <c r="V228" s="167"/>
      <c r="W228" s="167"/>
      <c r="X228" s="167"/>
      <c r="Y228" s="167"/>
      <c r="Z228" s="167"/>
    </row>
    <row r="229" spans="5:26" ht="12.75" customHeight="1">
      <c r="E229" s="264"/>
      <c r="F229" s="264"/>
      <c r="O229" s="149"/>
      <c r="P229" s="149"/>
      <c r="V229" s="167"/>
      <c r="W229" s="167"/>
      <c r="X229" s="167"/>
      <c r="Y229" s="167"/>
      <c r="Z229" s="167"/>
    </row>
    <row r="230" spans="5:26" ht="12.75" customHeight="1">
      <c r="E230" s="264"/>
      <c r="F230" s="264"/>
      <c r="O230" s="149"/>
      <c r="P230" s="149"/>
      <c r="V230" s="167"/>
      <c r="W230" s="167"/>
      <c r="X230" s="167"/>
      <c r="Y230" s="167"/>
      <c r="Z230" s="167"/>
    </row>
    <row r="231" spans="5:26" ht="12.75" customHeight="1">
      <c r="E231" s="264"/>
      <c r="F231" s="264"/>
      <c r="O231" s="149"/>
      <c r="P231" s="149"/>
      <c r="V231" s="167"/>
      <c r="W231" s="167"/>
      <c r="X231" s="167"/>
      <c r="Y231" s="167"/>
      <c r="Z231" s="167"/>
    </row>
    <row r="232" spans="5:26" ht="12.75" customHeight="1">
      <c r="E232" s="264"/>
      <c r="F232" s="264"/>
      <c r="O232" s="149"/>
      <c r="P232" s="149"/>
      <c r="V232" s="167"/>
      <c r="W232" s="167"/>
      <c r="X232" s="167"/>
      <c r="Y232" s="167"/>
      <c r="Z232" s="167"/>
    </row>
    <row r="233" spans="5:26" ht="12.75" customHeight="1">
      <c r="E233" s="264"/>
      <c r="F233" s="264"/>
      <c r="O233" s="149"/>
      <c r="P233" s="149"/>
      <c r="V233" s="167"/>
      <c r="W233" s="167"/>
      <c r="X233" s="167"/>
      <c r="Y233" s="167"/>
      <c r="Z233" s="167"/>
    </row>
    <row r="234" spans="5:26" ht="12.75" customHeight="1">
      <c r="E234" s="264"/>
      <c r="F234" s="264"/>
      <c r="O234" s="149"/>
      <c r="P234" s="149"/>
      <c r="V234" s="167"/>
      <c r="W234" s="167"/>
      <c r="X234" s="167"/>
      <c r="Y234" s="167"/>
      <c r="Z234" s="167"/>
    </row>
    <row r="235" spans="5:26" ht="12.75" customHeight="1">
      <c r="E235" s="264"/>
      <c r="F235" s="264"/>
      <c r="O235" s="149"/>
      <c r="P235" s="149"/>
      <c r="V235" s="167"/>
      <c r="W235" s="167"/>
      <c r="X235" s="167"/>
      <c r="Y235" s="167"/>
      <c r="Z235" s="167"/>
    </row>
    <row r="236" spans="5:26" ht="12.75" customHeight="1">
      <c r="E236" s="264"/>
      <c r="F236" s="264"/>
      <c r="O236" s="149"/>
      <c r="P236" s="149"/>
      <c r="V236" s="167"/>
      <c r="W236" s="167"/>
      <c r="X236" s="167"/>
      <c r="Y236" s="167"/>
      <c r="Z236" s="167"/>
    </row>
    <row r="237" spans="5:26" ht="12.75" customHeight="1">
      <c r="E237" s="264"/>
      <c r="F237" s="264"/>
      <c r="O237" s="149"/>
      <c r="P237" s="149"/>
      <c r="V237" s="167"/>
      <c r="W237" s="167"/>
      <c r="X237" s="167"/>
      <c r="Y237" s="167"/>
      <c r="Z237" s="167"/>
    </row>
    <row r="238" spans="5:26" ht="12.75" customHeight="1">
      <c r="E238" s="264"/>
      <c r="F238" s="264"/>
      <c r="O238" s="149"/>
      <c r="P238" s="149"/>
      <c r="V238" s="167"/>
      <c r="W238" s="167"/>
      <c r="X238" s="167"/>
      <c r="Y238" s="167"/>
      <c r="Z238" s="167"/>
    </row>
    <row r="239" spans="5:26" ht="12.75" customHeight="1">
      <c r="E239" s="264"/>
      <c r="F239" s="264"/>
      <c r="O239" s="149"/>
      <c r="P239" s="149"/>
      <c r="V239" s="167"/>
      <c r="W239" s="167"/>
      <c r="X239" s="167"/>
      <c r="Y239" s="167"/>
      <c r="Z239" s="167"/>
    </row>
    <row r="240" spans="5:26" ht="12.75" customHeight="1">
      <c r="E240" s="264"/>
      <c r="F240" s="264"/>
      <c r="O240" s="149"/>
      <c r="P240" s="149"/>
      <c r="V240" s="167"/>
      <c r="W240" s="167"/>
      <c r="X240" s="167"/>
      <c r="Y240" s="167"/>
      <c r="Z240" s="167"/>
    </row>
    <row r="241" spans="5:26" ht="12.75" customHeight="1">
      <c r="E241" s="264"/>
      <c r="F241" s="264"/>
      <c r="O241" s="149"/>
      <c r="P241" s="149"/>
      <c r="V241" s="167"/>
      <c r="W241" s="167"/>
      <c r="X241" s="167"/>
      <c r="Y241" s="167"/>
      <c r="Z241" s="167"/>
    </row>
    <row r="242" spans="5:26" ht="12.75" customHeight="1">
      <c r="E242" s="264"/>
      <c r="F242" s="264"/>
      <c r="O242" s="149"/>
      <c r="P242" s="149"/>
      <c r="V242" s="167"/>
      <c r="W242" s="167"/>
      <c r="X242" s="167"/>
      <c r="Y242" s="167"/>
      <c r="Z242" s="167"/>
    </row>
    <row r="243" spans="5:26" ht="12.75" customHeight="1">
      <c r="E243" s="264"/>
      <c r="F243" s="264"/>
      <c r="O243" s="149"/>
      <c r="P243" s="149"/>
      <c r="V243" s="167"/>
      <c r="W243" s="167"/>
      <c r="X243" s="167"/>
      <c r="Y243" s="167"/>
      <c r="Z243" s="167"/>
    </row>
    <row r="244" spans="5:26" ht="12.75" customHeight="1">
      <c r="E244" s="264"/>
      <c r="F244" s="264"/>
      <c r="O244" s="149"/>
      <c r="P244" s="149"/>
      <c r="V244" s="167"/>
      <c r="W244" s="167"/>
      <c r="X244" s="167"/>
      <c r="Y244" s="167"/>
      <c r="Z244" s="167"/>
    </row>
    <row r="245" spans="5:26" ht="12.75" customHeight="1">
      <c r="E245" s="264"/>
      <c r="F245" s="264"/>
      <c r="O245" s="149"/>
      <c r="P245" s="149"/>
      <c r="V245" s="167"/>
      <c r="W245" s="167"/>
      <c r="X245" s="167"/>
      <c r="Y245" s="167"/>
      <c r="Z245" s="167"/>
    </row>
    <row r="246" spans="5:26" ht="12.75" customHeight="1">
      <c r="E246" s="264"/>
      <c r="F246" s="264"/>
      <c r="O246" s="149"/>
      <c r="P246" s="149"/>
      <c r="V246" s="167"/>
      <c r="W246" s="167"/>
      <c r="X246" s="167"/>
      <c r="Y246" s="167"/>
      <c r="Z246" s="167"/>
    </row>
    <row r="247" spans="5:26" ht="12.75" customHeight="1">
      <c r="E247" s="264"/>
      <c r="F247" s="264"/>
      <c r="O247" s="149"/>
      <c r="P247" s="149"/>
      <c r="V247" s="167"/>
      <c r="W247" s="167"/>
      <c r="X247" s="167"/>
      <c r="Y247" s="167"/>
      <c r="Z247" s="167"/>
    </row>
    <row r="248" spans="5:26" ht="12.75" customHeight="1">
      <c r="E248" s="264"/>
      <c r="F248" s="264"/>
      <c r="O248" s="149"/>
      <c r="P248" s="149"/>
      <c r="V248" s="167"/>
      <c r="W248" s="167"/>
      <c r="X248" s="167"/>
      <c r="Y248" s="167"/>
      <c r="Z248" s="167"/>
    </row>
    <row r="249" spans="5:26" ht="12.75" customHeight="1">
      <c r="E249" s="264"/>
      <c r="F249" s="264"/>
      <c r="O249" s="149"/>
      <c r="P249" s="149"/>
      <c r="V249" s="167"/>
      <c r="W249" s="167"/>
      <c r="X249" s="167"/>
      <c r="Y249" s="167"/>
      <c r="Z249" s="167"/>
    </row>
    <row r="250" spans="5:26" ht="12.75" customHeight="1">
      <c r="E250" s="264"/>
      <c r="F250" s="264"/>
      <c r="O250" s="149"/>
      <c r="P250" s="149"/>
      <c r="V250" s="167"/>
      <c r="W250" s="167"/>
      <c r="X250" s="167"/>
      <c r="Y250" s="167"/>
      <c r="Z250" s="167"/>
    </row>
    <row r="251" spans="5:26" ht="12.75" customHeight="1">
      <c r="E251" s="264"/>
      <c r="F251" s="264"/>
      <c r="O251" s="149"/>
      <c r="P251" s="149"/>
      <c r="V251" s="167"/>
      <c r="W251" s="167"/>
      <c r="X251" s="167"/>
      <c r="Y251" s="167"/>
      <c r="Z251" s="167"/>
    </row>
    <row r="252" spans="5:26" ht="12.75" customHeight="1">
      <c r="E252" s="264"/>
      <c r="F252" s="264"/>
      <c r="O252" s="149"/>
      <c r="P252" s="149"/>
      <c r="V252" s="167"/>
      <c r="W252" s="167"/>
      <c r="X252" s="167"/>
      <c r="Y252" s="167"/>
      <c r="Z252" s="167"/>
    </row>
    <row r="253" spans="5:26" ht="12.75" customHeight="1">
      <c r="E253" s="264"/>
      <c r="F253" s="264"/>
      <c r="O253" s="149"/>
      <c r="P253" s="149"/>
      <c r="V253" s="167"/>
      <c r="W253" s="167"/>
      <c r="X253" s="167"/>
      <c r="Y253" s="167"/>
      <c r="Z253" s="167"/>
    </row>
    <row r="254" spans="5:26" ht="12.75" customHeight="1">
      <c r="E254" s="264"/>
      <c r="F254" s="264"/>
      <c r="O254" s="149"/>
      <c r="P254" s="149"/>
      <c r="V254" s="167"/>
      <c r="W254" s="167"/>
      <c r="X254" s="167"/>
      <c r="Y254" s="167"/>
      <c r="Z254" s="167"/>
    </row>
    <row r="255" spans="5:26" ht="12.75" customHeight="1">
      <c r="E255" s="264"/>
      <c r="F255" s="264"/>
      <c r="O255" s="149"/>
      <c r="P255" s="149"/>
      <c r="V255" s="167"/>
      <c r="W255" s="167"/>
      <c r="X255" s="167"/>
      <c r="Y255" s="167"/>
      <c r="Z255" s="167"/>
    </row>
    <row r="256" spans="5:26" ht="12.75" customHeight="1">
      <c r="E256" s="264"/>
      <c r="F256" s="264"/>
      <c r="O256" s="149"/>
      <c r="P256" s="149"/>
      <c r="V256" s="167"/>
      <c r="W256" s="167"/>
      <c r="X256" s="167"/>
      <c r="Y256" s="167"/>
      <c r="Z256" s="167"/>
    </row>
    <row r="257" spans="5:26" ht="12.75" customHeight="1">
      <c r="E257" s="264"/>
      <c r="F257" s="264"/>
      <c r="O257" s="149"/>
      <c r="P257" s="149"/>
      <c r="V257" s="167"/>
      <c r="W257" s="167"/>
      <c r="X257" s="167"/>
      <c r="Y257" s="167"/>
      <c r="Z257" s="167"/>
    </row>
    <row r="258" spans="5:26" ht="12.75" customHeight="1">
      <c r="E258" s="264"/>
      <c r="F258" s="264"/>
      <c r="O258" s="149"/>
      <c r="P258" s="149"/>
      <c r="V258" s="167"/>
      <c r="W258" s="167"/>
      <c r="X258" s="167"/>
      <c r="Y258" s="167"/>
      <c r="Z258" s="167"/>
    </row>
    <row r="259" spans="5:26" ht="12.75" customHeight="1">
      <c r="E259" s="264"/>
      <c r="F259" s="264"/>
      <c r="O259" s="149"/>
      <c r="P259" s="149"/>
      <c r="V259" s="167"/>
      <c r="W259" s="167"/>
      <c r="X259" s="167"/>
      <c r="Y259" s="167"/>
      <c r="Z259" s="167"/>
    </row>
    <row r="260" spans="5:26" ht="12.75" customHeight="1">
      <c r="E260" s="264"/>
      <c r="F260" s="264"/>
      <c r="O260" s="149"/>
      <c r="P260" s="149"/>
      <c r="V260" s="167"/>
      <c r="W260" s="167"/>
      <c r="X260" s="167"/>
      <c r="Y260" s="167"/>
      <c r="Z260" s="167"/>
    </row>
    <row r="261" spans="5:26" ht="12.75" customHeight="1">
      <c r="E261" s="264"/>
      <c r="F261" s="264"/>
      <c r="O261" s="149"/>
      <c r="P261" s="149"/>
      <c r="V261" s="167"/>
      <c r="W261" s="167"/>
      <c r="X261" s="167"/>
      <c r="Y261" s="167"/>
      <c r="Z261" s="167"/>
    </row>
    <row r="262" spans="5:26" ht="12.75" customHeight="1">
      <c r="E262" s="264"/>
      <c r="F262" s="264"/>
      <c r="O262" s="149"/>
      <c r="P262" s="149"/>
      <c r="V262" s="167"/>
      <c r="W262" s="167"/>
      <c r="X262" s="167"/>
      <c r="Y262" s="167"/>
      <c r="Z262" s="167"/>
    </row>
    <row r="263" spans="5:26" ht="12.75" customHeight="1">
      <c r="E263" s="264"/>
      <c r="F263" s="264"/>
      <c r="O263" s="149"/>
      <c r="P263" s="149"/>
      <c r="V263" s="167"/>
      <c r="W263" s="167"/>
      <c r="X263" s="167"/>
      <c r="Y263" s="167"/>
      <c r="Z263" s="167"/>
    </row>
    <row r="264" spans="5:26" ht="12.75" customHeight="1">
      <c r="E264" s="264"/>
      <c r="F264" s="264"/>
      <c r="O264" s="149"/>
      <c r="P264" s="149"/>
      <c r="V264" s="167"/>
      <c r="W264" s="167"/>
      <c r="X264" s="167"/>
      <c r="Y264" s="167"/>
      <c r="Z264" s="167"/>
    </row>
    <row r="265" spans="5:26" ht="12.75" customHeight="1">
      <c r="E265" s="264"/>
      <c r="F265" s="264"/>
      <c r="O265" s="149"/>
      <c r="P265" s="149"/>
      <c r="V265" s="167"/>
      <c r="W265" s="167"/>
      <c r="X265" s="167"/>
      <c r="Y265" s="167"/>
      <c r="Z265" s="167"/>
    </row>
    <row r="266" spans="5:26" ht="12.75" customHeight="1">
      <c r="E266" s="264"/>
      <c r="F266" s="264"/>
      <c r="O266" s="149"/>
      <c r="P266" s="149"/>
      <c r="V266" s="167"/>
      <c r="W266" s="167"/>
      <c r="X266" s="167"/>
      <c r="Y266" s="167"/>
      <c r="Z266" s="167"/>
    </row>
    <row r="267" spans="5:26" ht="12.75" customHeight="1">
      <c r="E267" s="264"/>
      <c r="F267" s="264"/>
      <c r="O267" s="149"/>
      <c r="P267" s="149"/>
      <c r="V267" s="167"/>
      <c r="W267" s="167"/>
      <c r="X267" s="167"/>
      <c r="Y267" s="167"/>
      <c r="Z267" s="167"/>
    </row>
    <row r="268" spans="5:26" ht="12.75" customHeight="1">
      <c r="E268" s="264"/>
      <c r="F268" s="264"/>
      <c r="O268" s="149"/>
      <c r="P268" s="149"/>
      <c r="V268" s="167"/>
      <c r="W268" s="167"/>
      <c r="X268" s="167"/>
      <c r="Y268" s="167"/>
      <c r="Z268" s="167"/>
    </row>
    <row r="269" spans="5:26" ht="12.75" customHeight="1">
      <c r="E269" s="264"/>
      <c r="F269" s="264"/>
      <c r="O269" s="149"/>
      <c r="P269" s="149"/>
      <c r="V269" s="167"/>
      <c r="W269" s="167"/>
      <c r="X269" s="167"/>
      <c r="Y269" s="167"/>
      <c r="Z269" s="167"/>
    </row>
    <row r="270" spans="5:26" ht="12.75" customHeight="1">
      <c r="E270" s="264"/>
      <c r="F270" s="264"/>
      <c r="O270" s="149"/>
      <c r="P270" s="149"/>
      <c r="V270" s="167"/>
      <c r="W270" s="167"/>
      <c r="X270" s="167"/>
      <c r="Y270" s="167"/>
      <c r="Z270" s="167"/>
    </row>
    <row r="271" spans="5:26" ht="12.75" customHeight="1">
      <c r="E271" s="264"/>
      <c r="F271" s="264"/>
      <c r="O271" s="149"/>
      <c r="P271" s="149"/>
      <c r="V271" s="167"/>
      <c r="W271" s="167"/>
      <c r="X271" s="167"/>
      <c r="Y271" s="167"/>
      <c r="Z271" s="167"/>
    </row>
    <row r="272" spans="5:26" ht="12.75" customHeight="1">
      <c r="E272" s="264"/>
      <c r="F272" s="264"/>
      <c r="O272" s="149"/>
      <c r="P272" s="149"/>
      <c r="V272" s="167"/>
      <c r="W272" s="167"/>
      <c r="X272" s="167"/>
      <c r="Y272" s="167"/>
      <c r="Z272" s="167"/>
    </row>
    <row r="273" spans="5:26" ht="12.75" customHeight="1">
      <c r="E273" s="264"/>
      <c r="F273" s="264"/>
      <c r="O273" s="149"/>
      <c r="P273" s="149"/>
      <c r="V273" s="167"/>
      <c r="W273" s="167"/>
      <c r="X273" s="167"/>
      <c r="Y273" s="167"/>
      <c r="Z273" s="167"/>
    </row>
    <row r="274" spans="5:26" ht="12.75" customHeight="1">
      <c r="E274" s="264"/>
      <c r="F274" s="264"/>
      <c r="O274" s="149"/>
      <c r="P274" s="149"/>
      <c r="V274" s="167"/>
      <c r="W274" s="167"/>
      <c r="X274" s="167"/>
      <c r="Y274" s="167"/>
      <c r="Z274" s="167"/>
    </row>
    <row r="275" spans="5:26" ht="12.75" customHeight="1">
      <c r="E275" s="264"/>
      <c r="F275" s="264"/>
      <c r="O275" s="149"/>
      <c r="P275" s="149"/>
      <c r="V275" s="167"/>
      <c r="W275" s="167"/>
      <c r="X275" s="167"/>
      <c r="Y275" s="167"/>
      <c r="Z275" s="167"/>
    </row>
    <row r="276" spans="5:26" ht="12.75" customHeight="1">
      <c r="E276" s="264"/>
      <c r="F276" s="264"/>
      <c r="O276" s="149"/>
      <c r="P276" s="149"/>
      <c r="V276" s="167"/>
      <c r="W276" s="167"/>
      <c r="X276" s="167"/>
      <c r="Y276" s="167"/>
      <c r="Z276" s="167"/>
    </row>
    <row r="277" spans="5:26" ht="12.75" customHeight="1">
      <c r="E277" s="264"/>
      <c r="F277" s="264"/>
      <c r="O277" s="149"/>
      <c r="P277" s="149"/>
      <c r="V277" s="167"/>
      <c r="W277" s="167"/>
      <c r="X277" s="167"/>
      <c r="Y277" s="167"/>
      <c r="Z277" s="167"/>
    </row>
    <row r="278" spans="5:26" ht="12.75" customHeight="1">
      <c r="E278" s="264"/>
      <c r="F278" s="264"/>
      <c r="O278" s="149"/>
      <c r="P278" s="149"/>
      <c r="V278" s="167"/>
      <c r="W278" s="167"/>
      <c r="X278" s="167"/>
      <c r="Y278" s="167"/>
      <c r="Z278" s="167"/>
    </row>
    <row r="279" spans="5:26" ht="12.75" customHeight="1">
      <c r="E279" s="264"/>
      <c r="F279" s="264"/>
      <c r="O279" s="149"/>
      <c r="P279" s="149"/>
      <c r="V279" s="167"/>
      <c r="W279" s="167"/>
      <c r="X279" s="167"/>
      <c r="Y279" s="167"/>
      <c r="Z279" s="167"/>
    </row>
    <row r="280" spans="5:26" ht="12.75" customHeight="1">
      <c r="E280" s="264"/>
      <c r="F280" s="264"/>
      <c r="O280" s="149"/>
      <c r="P280" s="149"/>
      <c r="V280" s="167"/>
      <c r="W280" s="167"/>
      <c r="X280" s="167"/>
      <c r="Y280" s="167"/>
      <c r="Z280" s="167"/>
    </row>
    <row r="281" spans="5:26" ht="12.75" customHeight="1">
      <c r="E281" s="264"/>
      <c r="F281" s="264"/>
      <c r="O281" s="149"/>
      <c r="P281" s="149"/>
      <c r="V281" s="167"/>
      <c r="W281" s="167"/>
      <c r="X281" s="167"/>
      <c r="Y281" s="167"/>
      <c r="Z281" s="167"/>
    </row>
    <row r="282" spans="5:26" ht="12.75" customHeight="1">
      <c r="E282" s="264"/>
      <c r="F282" s="264"/>
      <c r="O282" s="149"/>
      <c r="P282" s="149"/>
      <c r="V282" s="167"/>
      <c r="W282" s="167"/>
      <c r="X282" s="167"/>
      <c r="Y282" s="167"/>
      <c r="Z282" s="167"/>
    </row>
    <row r="283" spans="5:26" ht="12.75" customHeight="1">
      <c r="E283" s="264"/>
      <c r="F283" s="264"/>
      <c r="O283" s="149"/>
      <c r="P283" s="149"/>
      <c r="V283" s="167"/>
      <c r="W283" s="167"/>
      <c r="X283" s="167"/>
      <c r="Y283" s="167"/>
      <c r="Z283" s="167"/>
    </row>
    <row r="284" spans="5:26" ht="12.75" customHeight="1">
      <c r="E284" s="264"/>
      <c r="F284" s="264"/>
      <c r="O284" s="149"/>
      <c r="P284" s="149"/>
      <c r="V284" s="167"/>
      <c r="W284" s="167"/>
      <c r="X284" s="167"/>
      <c r="Y284" s="167"/>
      <c r="Z284" s="167"/>
    </row>
    <row r="285" spans="5:26" ht="12.75" customHeight="1">
      <c r="E285" s="264"/>
      <c r="F285" s="264"/>
      <c r="O285" s="149"/>
      <c r="P285" s="149"/>
      <c r="V285" s="167"/>
      <c r="W285" s="167"/>
      <c r="X285" s="167"/>
      <c r="Y285" s="167"/>
      <c r="Z285" s="167"/>
    </row>
    <row r="286" spans="5:26" ht="12.75" customHeight="1">
      <c r="E286" s="264"/>
      <c r="F286" s="264"/>
      <c r="O286" s="149"/>
      <c r="P286" s="149"/>
      <c r="V286" s="167"/>
      <c r="W286" s="167"/>
      <c r="X286" s="167"/>
      <c r="Y286" s="167"/>
      <c r="Z286" s="167"/>
    </row>
    <row r="287" spans="5:26" ht="12.75" customHeight="1">
      <c r="E287" s="264"/>
      <c r="F287" s="264"/>
      <c r="O287" s="149"/>
      <c r="P287" s="149"/>
      <c r="V287" s="167"/>
      <c r="W287" s="167"/>
      <c r="X287" s="167"/>
      <c r="Y287" s="167"/>
      <c r="Z287" s="167"/>
    </row>
    <row r="288" spans="5:26" ht="12.75" customHeight="1">
      <c r="E288" s="264"/>
      <c r="F288" s="264"/>
      <c r="O288" s="149"/>
      <c r="P288" s="149"/>
      <c r="V288" s="167"/>
      <c r="W288" s="167"/>
      <c r="X288" s="167"/>
      <c r="Y288" s="167"/>
      <c r="Z288" s="167"/>
    </row>
    <row r="289" spans="5:26" ht="12.75" customHeight="1">
      <c r="E289" s="264"/>
      <c r="F289" s="264"/>
      <c r="O289" s="149"/>
      <c r="P289" s="149"/>
      <c r="V289" s="167"/>
      <c r="W289" s="167"/>
      <c r="X289" s="167"/>
      <c r="Y289" s="167"/>
      <c r="Z289" s="167"/>
    </row>
    <row r="290" spans="5:26" ht="12.75" customHeight="1">
      <c r="E290" s="264"/>
      <c r="F290" s="264"/>
      <c r="O290" s="149"/>
      <c r="P290" s="149"/>
      <c r="V290" s="167"/>
      <c r="W290" s="167"/>
      <c r="X290" s="167"/>
      <c r="Y290" s="167"/>
      <c r="Z290" s="167"/>
    </row>
    <row r="291" spans="5:26" ht="12.75" customHeight="1">
      <c r="E291" s="264"/>
      <c r="F291" s="264"/>
      <c r="O291" s="149"/>
      <c r="P291" s="149"/>
      <c r="V291" s="167"/>
      <c r="W291" s="167"/>
      <c r="X291" s="167"/>
      <c r="Y291" s="167"/>
      <c r="Z291" s="167"/>
    </row>
    <row r="292" spans="5:26" ht="12.75" customHeight="1">
      <c r="E292" s="264"/>
      <c r="F292" s="264"/>
      <c r="O292" s="149"/>
      <c r="P292" s="149"/>
      <c r="V292" s="167"/>
      <c r="W292" s="167"/>
      <c r="X292" s="167"/>
      <c r="Y292" s="167"/>
      <c r="Z292" s="167"/>
    </row>
    <row r="293" spans="5:26" ht="12.75" customHeight="1">
      <c r="E293" s="264"/>
      <c r="F293" s="264"/>
      <c r="O293" s="149"/>
      <c r="P293" s="149"/>
      <c r="V293" s="167"/>
      <c r="W293" s="167"/>
      <c r="X293" s="167"/>
      <c r="Y293" s="167"/>
      <c r="Z293" s="167"/>
    </row>
    <row r="294" spans="5:26" ht="12.75" customHeight="1">
      <c r="E294" s="264"/>
      <c r="F294" s="264"/>
      <c r="O294" s="149"/>
      <c r="P294" s="149"/>
      <c r="V294" s="167"/>
      <c r="W294" s="167"/>
      <c r="X294" s="167"/>
      <c r="Y294" s="167"/>
      <c r="Z294" s="167"/>
    </row>
    <row r="295" spans="5:26" ht="12.75" customHeight="1">
      <c r="E295" s="264"/>
      <c r="F295" s="264"/>
      <c r="O295" s="149"/>
      <c r="P295" s="149"/>
      <c r="V295" s="167"/>
      <c r="W295" s="167"/>
      <c r="X295" s="167"/>
      <c r="Y295" s="167"/>
      <c r="Z295" s="167"/>
    </row>
    <row r="296" spans="5:26" ht="12.75" customHeight="1">
      <c r="E296" s="264"/>
      <c r="F296" s="264"/>
      <c r="O296" s="149"/>
      <c r="P296" s="149"/>
      <c r="V296" s="167"/>
      <c r="W296" s="167"/>
      <c r="X296" s="167"/>
      <c r="Y296" s="167"/>
      <c r="Z296" s="167"/>
    </row>
    <row r="297" spans="5:26" ht="12.75" customHeight="1">
      <c r="E297" s="264"/>
      <c r="F297" s="264"/>
      <c r="O297" s="149"/>
      <c r="P297" s="149"/>
      <c r="V297" s="167"/>
      <c r="W297" s="167"/>
      <c r="X297" s="167"/>
      <c r="Y297" s="167"/>
      <c r="Z297" s="167"/>
    </row>
    <row r="298" spans="5:26" ht="12.75" customHeight="1">
      <c r="E298" s="264"/>
      <c r="F298" s="264"/>
      <c r="O298" s="149"/>
      <c r="P298" s="149"/>
      <c r="V298" s="167"/>
      <c r="W298" s="167"/>
      <c r="X298" s="167"/>
      <c r="Y298" s="167"/>
      <c r="Z298" s="167"/>
    </row>
    <row r="299" spans="5:26" ht="12.75" customHeight="1">
      <c r="E299" s="264"/>
      <c r="F299" s="264"/>
      <c r="O299" s="149"/>
      <c r="P299" s="149"/>
      <c r="V299" s="167"/>
      <c r="W299" s="167"/>
      <c r="X299" s="167"/>
      <c r="Y299" s="167"/>
      <c r="Z299" s="167"/>
    </row>
    <row r="300" spans="5:26" ht="12.75" customHeight="1">
      <c r="E300" s="264"/>
      <c r="F300" s="264"/>
      <c r="O300" s="149"/>
      <c r="P300" s="149"/>
      <c r="V300" s="167"/>
      <c r="W300" s="167"/>
      <c r="X300" s="167"/>
      <c r="Y300" s="167"/>
      <c r="Z300" s="167"/>
    </row>
    <row r="301" spans="5:26" ht="12.75" customHeight="1">
      <c r="E301" s="264"/>
      <c r="F301" s="264"/>
      <c r="O301" s="149"/>
      <c r="P301" s="149"/>
      <c r="V301" s="167"/>
      <c r="W301" s="167"/>
      <c r="X301" s="167"/>
      <c r="Y301" s="167"/>
      <c r="Z301" s="167"/>
    </row>
    <row r="302" spans="5:26" ht="12.75" customHeight="1">
      <c r="E302" s="264"/>
      <c r="F302" s="264"/>
      <c r="O302" s="149"/>
      <c r="P302" s="149"/>
      <c r="V302" s="167"/>
      <c r="W302" s="167"/>
      <c r="X302" s="167"/>
      <c r="Y302" s="167"/>
      <c r="Z302" s="167"/>
    </row>
    <row r="303" spans="5:26" ht="12.75" customHeight="1">
      <c r="E303" s="264"/>
      <c r="F303" s="264"/>
      <c r="O303" s="149"/>
      <c r="P303" s="149"/>
      <c r="V303" s="167"/>
      <c r="W303" s="167"/>
      <c r="X303" s="167"/>
      <c r="Y303" s="167"/>
      <c r="Z303" s="167"/>
    </row>
    <row r="304" spans="5:26" ht="12.75" customHeight="1">
      <c r="E304" s="264"/>
      <c r="F304" s="264"/>
      <c r="O304" s="149"/>
      <c r="P304" s="149"/>
      <c r="V304" s="167"/>
      <c r="W304" s="167"/>
      <c r="X304" s="167"/>
      <c r="Y304" s="167"/>
      <c r="Z304" s="167"/>
    </row>
    <row r="305" spans="5:26" ht="12.75" customHeight="1">
      <c r="E305" s="264"/>
      <c r="F305" s="264"/>
      <c r="O305" s="149"/>
      <c r="P305" s="149"/>
      <c r="V305" s="167"/>
      <c r="W305" s="167"/>
      <c r="X305" s="167"/>
      <c r="Y305" s="167"/>
      <c r="Z305" s="167"/>
    </row>
    <row r="306" spans="5:26" ht="12.75" customHeight="1">
      <c r="E306" s="264"/>
      <c r="F306" s="264"/>
      <c r="O306" s="149"/>
      <c r="P306" s="149"/>
      <c r="V306" s="167"/>
      <c r="W306" s="167"/>
      <c r="X306" s="167"/>
      <c r="Y306" s="167"/>
      <c r="Z306" s="167"/>
    </row>
    <row r="307" spans="5:26" ht="12.75" customHeight="1">
      <c r="E307" s="264"/>
      <c r="F307" s="264"/>
      <c r="O307" s="149"/>
      <c r="P307" s="149"/>
      <c r="V307" s="167"/>
      <c r="W307" s="167"/>
      <c r="X307" s="167"/>
      <c r="Y307" s="167"/>
      <c r="Z307" s="167"/>
    </row>
    <row r="308" spans="5:26" ht="12.75" customHeight="1">
      <c r="E308" s="264"/>
      <c r="F308" s="264"/>
      <c r="O308" s="149"/>
      <c r="P308" s="149"/>
      <c r="V308" s="167"/>
      <c r="W308" s="167"/>
      <c r="X308" s="167"/>
      <c r="Y308" s="167"/>
      <c r="Z308" s="167"/>
    </row>
    <row r="309" spans="5:26" ht="12.75" customHeight="1">
      <c r="E309" s="264"/>
      <c r="F309" s="264"/>
      <c r="O309" s="149"/>
      <c r="P309" s="149"/>
      <c r="V309" s="167"/>
      <c r="W309" s="167"/>
      <c r="X309" s="167"/>
      <c r="Y309" s="167"/>
      <c r="Z309" s="167"/>
    </row>
    <row r="310" spans="5:26" ht="12.75" customHeight="1">
      <c r="E310" s="264"/>
      <c r="F310" s="264"/>
      <c r="O310" s="149"/>
      <c r="P310" s="149"/>
      <c r="V310" s="167"/>
      <c r="W310" s="167"/>
      <c r="X310" s="167"/>
      <c r="Y310" s="167"/>
      <c r="Z310" s="167"/>
    </row>
    <row r="311" spans="5:26" ht="12.75" customHeight="1">
      <c r="E311" s="264"/>
      <c r="F311" s="264"/>
      <c r="O311" s="149"/>
      <c r="P311" s="149"/>
      <c r="V311" s="167"/>
      <c r="W311" s="167"/>
      <c r="X311" s="167"/>
      <c r="Y311" s="167"/>
      <c r="Z311" s="167"/>
    </row>
    <row r="312" spans="5:26" ht="12.75" customHeight="1">
      <c r="E312" s="264"/>
      <c r="F312" s="264"/>
      <c r="O312" s="149"/>
      <c r="P312" s="149"/>
      <c r="V312" s="167"/>
      <c r="W312" s="167"/>
      <c r="X312" s="167"/>
      <c r="Y312" s="167"/>
      <c r="Z312" s="167"/>
    </row>
    <row r="313" spans="5:26" ht="12.75" customHeight="1">
      <c r="E313" s="264"/>
      <c r="F313" s="264"/>
      <c r="O313" s="149"/>
      <c r="P313" s="149"/>
      <c r="V313" s="167"/>
      <c r="W313" s="167"/>
      <c r="X313" s="167"/>
      <c r="Y313" s="167"/>
      <c r="Z313" s="167"/>
    </row>
    <row r="314" spans="5:26" ht="12.75" customHeight="1">
      <c r="E314" s="264"/>
      <c r="F314" s="264"/>
      <c r="O314" s="149"/>
      <c r="P314" s="149"/>
      <c r="V314" s="167"/>
      <c r="W314" s="167"/>
      <c r="X314" s="167"/>
      <c r="Y314" s="167"/>
      <c r="Z314" s="167"/>
    </row>
    <row r="315" spans="5:26" ht="12.75" customHeight="1">
      <c r="E315" s="264"/>
      <c r="F315" s="264"/>
      <c r="O315" s="149"/>
      <c r="P315" s="149"/>
      <c r="V315" s="167"/>
      <c r="W315" s="167"/>
      <c r="X315" s="167"/>
      <c r="Y315" s="167"/>
      <c r="Z315" s="167"/>
    </row>
    <row r="316" spans="5:26" ht="12.75" customHeight="1">
      <c r="E316" s="264"/>
      <c r="F316" s="264"/>
      <c r="O316" s="149"/>
      <c r="P316" s="149"/>
      <c r="V316" s="167"/>
      <c r="W316" s="167"/>
      <c r="X316" s="167"/>
      <c r="Y316" s="167"/>
      <c r="Z316" s="167"/>
    </row>
    <row r="317" spans="5:26" ht="12.75" customHeight="1">
      <c r="E317" s="264"/>
      <c r="F317" s="264"/>
      <c r="O317" s="149"/>
      <c r="P317" s="149"/>
      <c r="V317" s="167"/>
      <c r="W317" s="167"/>
      <c r="X317" s="167"/>
      <c r="Y317" s="167"/>
      <c r="Z317" s="167"/>
    </row>
    <row r="318" spans="5:26" ht="12.75" customHeight="1">
      <c r="E318" s="264"/>
      <c r="F318" s="264"/>
      <c r="O318" s="149"/>
      <c r="P318" s="149"/>
      <c r="V318" s="167"/>
      <c r="W318" s="167"/>
      <c r="X318" s="167"/>
      <c r="Y318" s="167"/>
      <c r="Z318" s="167"/>
    </row>
    <row r="319" spans="5:26" ht="12.75" customHeight="1">
      <c r="E319" s="264"/>
      <c r="F319" s="264"/>
      <c r="O319" s="149"/>
      <c r="P319" s="149"/>
      <c r="V319" s="167"/>
      <c r="W319" s="167"/>
      <c r="X319" s="167"/>
      <c r="Y319" s="167"/>
      <c r="Z319" s="167"/>
    </row>
    <row r="320" spans="5:26" ht="12.75" customHeight="1">
      <c r="E320" s="264"/>
      <c r="F320" s="264"/>
      <c r="O320" s="149"/>
      <c r="P320" s="149"/>
      <c r="V320" s="167"/>
      <c r="W320" s="167"/>
      <c r="X320" s="167"/>
      <c r="Y320" s="167"/>
      <c r="Z320" s="167"/>
    </row>
    <row r="321" spans="5:26" ht="12.75" customHeight="1">
      <c r="E321" s="264"/>
      <c r="F321" s="264"/>
      <c r="O321" s="149"/>
      <c r="P321" s="149"/>
      <c r="V321" s="167"/>
      <c r="W321" s="167"/>
      <c r="X321" s="167"/>
      <c r="Y321" s="167"/>
      <c r="Z321" s="167"/>
    </row>
    <row r="322" spans="5:26" ht="12.75" customHeight="1">
      <c r="E322" s="264"/>
      <c r="F322" s="264"/>
      <c r="O322" s="149"/>
      <c r="P322" s="149"/>
      <c r="V322" s="167"/>
      <c r="W322" s="167"/>
      <c r="X322" s="167"/>
      <c r="Y322" s="167"/>
      <c r="Z322" s="167"/>
    </row>
    <row r="323" spans="5:26" ht="12.75" customHeight="1">
      <c r="E323" s="264"/>
      <c r="F323" s="264"/>
      <c r="O323" s="149"/>
      <c r="P323" s="149"/>
      <c r="V323" s="167"/>
      <c r="W323" s="167"/>
      <c r="X323" s="167"/>
      <c r="Y323" s="167"/>
      <c r="Z323" s="167"/>
    </row>
    <row r="324" spans="5:26" ht="12.75" customHeight="1">
      <c r="E324" s="264"/>
      <c r="F324" s="264"/>
      <c r="O324" s="149"/>
      <c r="P324" s="149"/>
      <c r="V324" s="167"/>
      <c r="W324" s="167"/>
      <c r="X324" s="167"/>
      <c r="Y324" s="167"/>
      <c r="Z324" s="167"/>
    </row>
    <row r="325" spans="5:26" ht="12.75" customHeight="1">
      <c r="E325" s="264"/>
      <c r="F325" s="264"/>
      <c r="O325" s="149"/>
      <c r="P325" s="149"/>
      <c r="V325" s="167"/>
      <c r="W325" s="167"/>
      <c r="X325" s="167"/>
      <c r="Y325" s="167"/>
      <c r="Z325" s="167"/>
    </row>
    <row r="326" spans="5:26" ht="12.75" customHeight="1">
      <c r="E326" s="264"/>
      <c r="F326" s="264"/>
      <c r="O326" s="149"/>
      <c r="P326" s="149"/>
      <c r="V326" s="167"/>
      <c r="W326" s="167"/>
      <c r="X326" s="167"/>
      <c r="Y326" s="167"/>
      <c r="Z326" s="167"/>
    </row>
    <row r="327" spans="5:26" ht="12.75" customHeight="1">
      <c r="E327" s="264"/>
      <c r="F327" s="264"/>
      <c r="O327" s="149"/>
      <c r="P327" s="149"/>
      <c r="V327" s="167"/>
      <c r="W327" s="167"/>
      <c r="X327" s="167"/>
      <c r="Y327" s="167"/>
      <c r="Z327" s="167"/>
    </row>
    <row r="328" spans="5:26" ht="12.75" customHeight="1">
      <c r="E328" s="264"/>
      <c r="F328" s="264"/>
      <c r="O328" s="149"/>
      <c r="P328" s="149"/>
      <c r="V328" s="167"/>
      <c r="W328" s="167"/>
      <c r="X328" s="167"/>
      <c r="Y328" s="167"/>
      <c r="Z328" s="167"/>
    </row>
    <row r="329" spans="5:26" ht="12.75" customHeight="1">
      <c r="E329" s="264"/>
      <c r="F329" s="264"/>
      <c r="O329" s="149"/>
      <c r="P329" s="149"/>
      <c r="V329" s="167"/>
      <c r="W329" s="167"/>
      <c r="X329" s="167"/>
      <c r="Y329" s="167"/>
      <c r="Z329" s="167"/>
    </row>
    <row r="330" spans="5:26" ht="12.75" customHeight="1">
      <c r="E330" s="264"/>
      <c r="F330" s="264"/>
      <c r="O330" s="149"/>
      <c r="P330" s="149"/>
      <c r="V330" s="167"/>
      <c r="W330" s="167"/>
      <c r="X330" s="167"/>
      <c r="Y330" s="167"/>
      <c r="Z330" s="167"/>
    </row>
    <row r="331" spans="5:26" ht="12.75" customHeight="1">
      <c r="E331" s="264"/>
      <c r="F331" s="264"/>
      <c r="O331" s="149"/>
      <c r="P331" s="149"/>
      <c r="V331" s="167"/>
      <c r="W331" s="167"/>
      <c r="X331" s="167"/>
      <c r="Y331" s="167"/>
      <c r="Z331" s="167"/>
    </row>
    <row r="332" spans="5:26" ht="12.75" customHeight="1">
      <c r="E332" s="264"/>
      <c r="F332" s="264"/>
      <c r="O332" s="149"/>
      <c r="P332" s="149"/>
      <c r="V332" s="167"/>
      <c r="W332" s="167"/>
      <c r="X332" s="167"/>
      <c r="Y332" s="167"/>
      <c r="Z332" s="167"/>
    </row>
    <row r="333" spans="5:26" ht="12.75" customHeight="1">
      <c r="E333" s="264"/>
      <c r="F333" s="264"/>
      <c r="O333" s="149"/>
      <c r="P333" s="149"/>
      <c r="V333" s="167"/>
      <c r="W333" s="167"/>
      <c r="X333" s="167"/>
      <c r="Y333" s="167"/>
      <c r="Z333" s="167"/>
    </row>
    <row r="334" spans="5:26" ht="12.75" customHeight="1">
      <c r="E334" s="264"/>
      <c r="F334" s="264"/>
      <c r="O334" s="149"/>
      <c r="P334" s="149"/>
      <c r="V334" s="167"/>
      <c r="W334" s="167"/>
      <c r="X334" s="167"/>
      <c r="Y334" s="167"/>
      <c r="Z334" s="167"/>
    </row>
    <row r="335" spans="5:26" ht="12.75" customHeight="1">
      <c r="E335" s="264"/>
      <c r="F335" s="264"/>
      <c r="O335" s="149"/>
      <c r="P335" s="149"/>
      <c r="V335" s="167"/>
      <c r="W335" s="167"/>
      <c r="X335" s="167"/>
      <c r="Y335" s="167"/>
      <c r="Z335" s="167"/>
    </row>
    <row r="336" spans="5:26" ht="12.75" customHeight="1">
      <c r="E336" s="264"/>
      <c r="F336" s="264"/>
      <c r="O336" s="149"/>
      <c r="P336" s="149"/>
      <c r="V336" s="167"/>
      <c r="W336" s="167"/>
      <c r="X336" s="167"/>
      <c r="Y336" s="167"/>
      <c r="Z336" s="167"/>
    </row>
    <row r="337" spans="5:26" ht="12.75" customHeight="1">
      <c r="E337" s="264"/>
      <c r="F337" s="264"/>
      <c r="O337" s="149"/>
      <c r="P337" s="149"/>
      <c r="V337" s="167"/>
      <c r="W337" s="167"/>
      <c r="X337" s="167"/>
      <c r="Y337" s="167"/>
      <c r="Z337" s="167"/>
    </row>
    <row r="338" spans="5:26" ht="12.75" customHeight="1">
      <c r="E338" s="264"/>
      <c r="F338" s="264"/>
      <c r="O338" s="149"/>
      <c r="P338" s="149"/>
      <c r="V338" s="167"/>
      <c r="W338" s="167"/>
      <c r="X338" s="167"/>
      <c r="Y338" s="167"/>
      <c r="Z338" s="167"/>
    </row>
    <row r="339" spans="5:26" ht="12.75" customHeight="1">
      <c r="E339" s="264"/>
      <c r="F339" s="264"/>
      <c r="O339" s="149"/>
      <c r="P339" s="149"/>
      <c r="V339" s="167"/>
      <c r="W339" s="167"/>
      <c r="X339" s="167"/>
      <c r="Y339" s="167"/>
      <c r="Z339" s="167"/>
    </row>
    <row r="340" spans="5:26" ht="12.75" customHeight="1">
      <c r="E340" s="264"/>
      <c r="F340" s="264"/>
      <c r="O340" s="149"/>
      <c r="P340" s="149"/>
      <c r="V340" s="167"/>
      <c r="W340" s="167"/>
      <c r="X340" s="167"/>
      <c r="Y340" s="167"/>
      <c r="Z340" s="167"/>
    </row>
    <row r="341" spans="5:26" ht="12.75" customHeight="1">
      <c r="E341" s="264"/>
      <c r="F341" s="264"/>
      <c r="O341" s="149"/>
      <c r="P341" s="149"/>
      <c r="V341" s="167"/>
      <c r="W341" s="167"/>
      <c r="X341" s="167"/>
      <c r="Y341" s="167"/>
      <c r="Z341" s="167"/>
    </row>
    <row r="342" spans="5:26" ht="12.75" customHeight="1">
      <c r="E342" s="264"/>
      <c r="F342" s="264"/>
      <c r="O342" s="149"/>
      <c r="P342" s="149"/>
      <c r="V342" s="167"/>
      <c r="W342" s="167"/>
      <c r="X342" s="167"/>
      <c r="Y342" s="167"/>
      <c r="Z342" s="167"/>
    </row>
    <row r="343" spans="5:26" ht="12.75" customHeight="1">
      <c r="E343" s="264"/>
      <c r="F343" s="264"/>
      <c r="O343" s="149"/>
      <c r="P343" s="149"/>
      <c r="V343" s="167"/>
      <c r="W343" s="167"/>
      <c r="X343" s="167"/>
      <c r="Y343" s="167"/>
      <c r="Z343" s="167"/>
    </row>
    <row r="344" spans="5:26" ht="12.75" customHeight="1">
      <c r="E344" s="264"/>
      <c r="F344" s="264"/>
      <c r="O344" s="149"/>
      <c r="P344" s="149"/>
      <c r="V344" s="167"/>
      <c r="W344" s="167"/>
      <c r="X344" s="167"/>
      <c r="Y344" s="167"/>
      <c r="Z344" s="167"/>
    </row>
    <row r="345" spans="5:26" ht="12.75" customHeight="1">
      <c r="E345" s="264"/>
      <c r="F345" s="264"/>
      <c r="O345" s="149"/>
      <c r="P345" s="149"/>
      <c r="V345" s="167"/>
      <c r="W345" s="167"/>
      <c r="X345" s="167"/>
      <c r="Y345" s="167"/>
      <c r="Z345" s="167"/>
    </row>
    <row r="346" spans="5:26" ht="12.75" customHeight="1">
      <c r="E346" s="264"/>
      <c r="F346" s="264"/>
      <c r="O346" s="149"/>
      <c r="P346" s="149"/>
      <c r="V346" s="167"/>
      <c r="W346" s="167"/>
      <c r="X346" s="167"/>
      <c r="Y346" s="167"/>
      <c r="Z346" s="167"/>
    </row>
    <row r="347" spans="5:26" ht="12.75" customHeight="1">
      <c r="E347" s="264"/>
      <c r="F347" s="264"/>
      <c r="O347" s="149"/>
      <c r="P347" s="149"/>
      <c r="V347" s="167"/>
      <c r="W347" s="167"/>
      <c r="X347" s="167"/>
      <c r="Y347" s="167"/>
      <c r="Z347" s="167"/>
    </row>
    <row r="348" spans="5:26" ht="12.75" customHeight="1">
      <c r="E348" s="264"/>
      <c r="F348" s="264"/>
      <c r="O348" s="149"/>
      <c r="P348" s="149"/>
      <c r="V348" s="167"/>
      <c r="W348" s="167"/>
      <c r="X348" s="167"/>
      <c r="Y348" s="167"/>
      <c r="Z348" s="167"/>
    </row>
    <row r="349" spans="5:26" ht="12.75" customHeight="1">
      <c r="E349" s="264"/>
      <c r="F349" s="264"/>
      <c r="O349" s="149"/>
      <c r="P349" s="149"/>
      <c r="V349" s="167"/>
      <c r="W349" s="167"/>
      <c r="X349" s="167"/>
      <c r="Y349" s="167"/>
      <c r="Z349" s="167"/>
    </row>
    <row r="350" spans="5:26" ht="12.75" customHeight="1">
      <c r="E350" s="264"/>
      <c r="F350" s="264"/>
      <c r="O350" s="149"/>
      <c r="P350" s="149"/>
      <c r="V350" s="167"/>
      <c r="W350" s="167"/>
      <c r="X350" s="167"/>
      <c r="Y350" s="167"/>
      <c r="Z350" s="167"/>
    </row>
    <row r="351" spans="5:26" ht="12.75" customHeight="1">
      <c r="E351" s="264"/>
      <c r="F351" s="264"/>
      <c r="O351" s="149"/>
      <c r="P351" s="149"/>
      <c r="V351" s="167"/>
      <c r="W351" s="167"/>
      <c r="X351" s="167"/>
      <c r="Y351" s="167"/>
      <c r="Z351" s="167"/>
    </row>
    <row r="352" spans="5:26" ht="12.75" customHeight="1">
      <c r="E352" s="264"/>
      <c r="F352" s="264"/>
      <c r="O352" s="149"/>
      <c r="P352" s="149"/>
      <c r="V352" s="167"/>
      <c r="W352" s="167"/>
      <c r="X352" s="167"/>
      <c r="Y352" s="167"/>
      <c r="Z352" s="167"/>
    </row>
    <row r="353" spans="5:26" ht="12.75" customHeight="1">
      <c r="E353" s="264"/>
      <c r="F353" s="264"/>
      <c r="O353" s="149"/>
      <c r="P353" s="149"/>
      <c r="V353" s="167"/>
      <c r="W353" s="167"/>
      <c r="X353" s="167"/>
      <c r="Y353" s="167"/>
      <c r="Z353" s="167"/>
    </row>
    <row r="354" spans="5:26" ht="12.75" customHeight="1">
      <c r="E354" s="264"/>
      <c r="F354" s="264"/>
      <c r="O354" s="149"/>
      <c r="P354" s="149"/>
      <c r="V354" s="167"/>
      <c r="W354" s="167"/>
      <c r="X354" s="167"/>
      <c r="Y354" s="167"/>
      <c r="Z354" s="167"/>
    </row>
    <row r="355" spans="5:26" ht="12.75" customHeight="1">
      <c r="E355" s="264"/>
      <c r="F355" s="264"/>
      <c r="O355" s="149"/>
      <c r="P355" s="149"/>
      <c r="V355" s="167"/>
      <c r="W355" s="167"/>
      <c r="X355" s="167"/>
      <c r="Y355" s="167"/>
      <c r="Z355" s="167"/>
    </row>
    <row r="356" spans="5:26" ht="12.75" customHeight="1">
      <c r="E356" s="264"/>
      <c r="F356" s="264"/>
      <c r="O356" s="149"/>
      <c r="P356" s="149"/>
      <c r="V356" s="167"/>
      <c r="W356" s="167"/>
      <c r="X356" s="167"/>
      <c r="Y356" s="167"/>
      <c r="Z356" s="167"/>
    </row>
    <row r="357" spans="5:26" ht="12.75" customHeight="1">
      <c r="E357" s="264"/>
      <c r="F357" s="264"/>
      <c r="O357" s="149"/>
      <c r="P357" s="149"/>
      <c r="V357" s="167"/>
      <c r="W357" s="167"/>
      <c r="X357" s="167"/>
      <c r="Y357" s="167"/>
      <c r="Z357" s="167"/>
    </row>
    <row r="358" spans="5:26" ht="12.75" customHeight="1">
      <c r="E358" s="264"/>
      <c r="F358" s="264"/>
      <c r="O358" s="149"/>
      <c r="P358" s="149"/>
      <c r="V358" s="167"/>
      <c r="W358" s="167"/>
      <c r="X358" s="167"/>
      <c r="Y358" s="167"/>
      <c r="Z358" s="167"/>
    </row>
    <row r="359" spans="5:26" ht="12.75" customHeight="1">
      <c r="E359" s="264"/>
      <c r="F359" s="264"/>
      <c r="O359" s="149"/>
      <c r="P359" s="149"/>
      <c r="V359" s="167"/>
      <c r="W359" s="167"/>
      <c r="X359" s="167"/>
      <c r="Y359" s="167"/>
      <c r="Z359" s="167"/>
    </row>
    <row r="360" spans="5:26" ht="12.75" customHeight="1">
      <c r="E360" s="264"/>
      <c r="F360" s="264"/>
      <c r="O360" s="149"/>
      <c r="P360" s="149"/>
      <c r="V360" s="167"/>
      <c r="W360" s="167"/>
      <c r="X360" s="167"/>
      <c r="Y360" s="167"/>
      <c r="Z360" s="167"/>
    </row>
    <row r="361" spans="5:26" ht="12.75" customHeight="1">
      <c r="E361" s="264"/>
      <c r="F361" s="264"/>
      <c r="O361" s="149"/>
      <c r="P361" s="149"/>
      <c r="V361" s="167"/>
      <c r="W361" s="167"/>
      <c r="X361" s="167"/>
      <c r="Y361" s="167"/>
      <c r="Z361" s="167"/>
    </row>
    <row r="362" spans="5:26" ht="12.75" customHeight="1">
      <c r="E362" s="264"/>
      <c r="F362" s="264"/>
      <c r="O362" s="149"/>
      <c r="P362" s="149"/>
      <c r="V362" s="167"/>
      <c r="W362" s="167"/>
      <c r="X362" s="167"/>
      <c r="Y362" s="167"/>
      <c r="Z362" s="167"/>
    </row>
    <row r="363" spans="5:26" ht="12.75" customHeight="1">
      <c r="E363" s="264"/>
      <c r="F363" s="264"/>
      <c r="O363" s="149"/>
      <c r="P363" s="149"/>
      <c r="V363" s="167"/>
      <c r="W363" s="167"/>
      <c r="X363" s="167"/>
      <c r="Y363" s="167"/>
      <c r="Z363" s="167"/>
    </row>
    <row r="364" spans="5:26" ht="12.75" customHeight="1">
      <c r="E364" s="264"/>
      <c r="F364" s="264"/>
      <c r="O364" s="149"/>
      <c r="P364" s="149"/>
      <c r="V364" s="167"/>
      <c r="W364" s="167"/>
      <c r="X364" s="167"/>
      <c r="Y364" s="167"/>
      <c r="Z364" s="167"/>
    </row>
    <row r="365" spans="5:26" ht="12.75" customHeight="1">
      <c r="E365" s="264"/>
      <c r="F365" s="264"/>
      <c r="O365" s="149"/>
      <c r="P365" s="149"/>
      <c r="V365" s="167"/>
      <c r="W365" s="167"/>
      <c r="X365" s="167"/>
      <c r="Y365" s="167"/>
      <c r="Z365" s="167"/>
    </row>
    <row r="366" spans="5:26" ht="12.75" customHeight="1">
      <c r="E366" s="264"/>
      <c r="F366" s="264"/>
      <c r="O366" s="149"/>
      <c r="P366" s="149"/>
      <c r="V366" s="167"/>
      <c r="W366" s="167"/>
      <c r="X366" s="167"/>
      <c r="Y366" s="167"/>
      <c r="Z366" s="167"/>
    </row>
    <row r="367" spans="5:26" ht="12.75" customHeight="1">
      <c r="E367" s="264"/>
      <c r="F367" s="264"/>
      <c r="O367" s="149"/>
      <c r="P367" s="149"/>
      <c r="V367" s="167"/>
      <c r="W367" s="167"/>
      <c r="X367" s="167"/>
      <c r="Y367" s="167"/>
      <c r="Z367" s="167"/>
    </row>
    <row r="368" spans="5:26" ht="12.75" customHeight="1">
      <c r="E368" s="264"/>
      <c r="F368" s="264"/>
      <c r="O368" s="149"/>
      <c r="P368" s="149"/>
      <c r="V368" s="167"/>
      <c r="W368" s="167"/>
      <c r="X368" s="167"/>
      <c r="Y368" s="167"/>
      <c r="Z368" s="167"/>
    </row>
    <row r="369" spans="5:26" ht="12.75" customHeight="1">
      <c r="E369" s="264"/>
      <c r="F369" s="264"/>
      <c r="O369" s="149"/>
      <c r="P369" s="149"/>
      <c r="V369" s="167"/>
      <c r="W369" s="167"/>
      <c r="X369" s="167"/>
      <c r="Y369" s="167"/>
      <c r="Z369" s="167"/>
    </row>
    <row r="370" spans="5:26" ht="12.75" customHeight="1">
      <c r="E370" s="264"/>
      <c r="F370" s="264"/>
      <c r="O370" s="149"/>
      <c r="P370" s="149"/>
      <c r="V370" s="167"/>
      <c r="W370" s="167"/>
      <c r="X370" s="167"/>
      <c r="Y370" s="167"/>
      <c r="Z370" s="167"/>
    </row>
    <row r="371" spans="5:26" ht="12.75" customHeight="1">
      <c r="E371" s="264"/>
      <c r="F371" s="264"/>
      <c r="O371" s="149"/>
      <c r="P371" s="149"/>
      <c r="V371" s="167"/>
      <c r="W371" s="167"/>
      <c r="X371" s="167"/>
      <c r="Y371" s="167"/>
      <c r="Z371" s="167"/>
    </row>
    <row r="372" spans="5:26" ht="12.75" customHeight="1">
      <c r="E372" s="264"/>
      <c r="F372" s="264"/>
      <c r="O372" s="149"/>
      <c r="P372" s="149"/>
      <c r="V372" s="167"/>
      <c r="W372" s="167"/>
      <c r="X372" s="167"/>
      <c r="Y372" s="167"/>
      <c r="Z372" s="167"/>
    </row>
    <row r="373" spans="5:26" ht="12.75" customHeight="1">
      <c r="E373" s="264"/>
      <c r="F373" s="264"/>
      <c r="O373" s="149"/>
      <c r="P373" s="149"/>
      <c r="V373" s="167"/>
      <c r="W373" s="167"/>
      <c r="X373" s="167"/>
      <c r="Y373" s="167"/>
      <c r="Z373" s="167"/>
    </row>
    <row r="374" spans="5:26" ht="12.75" customHeight="1">
      <c r="E374" s="264"/>
      <c r="F374" s="264"/>
      <c r="O374" s="149"/>
      <c r="P374" s="149"/>
      <c r="V374" s="167"/>
      <c r="W374" s="167"/>
      <c r="X374" s="167"/>
      <c r="Y374" s="167"/>
      <c r="Z374" s="167"/>
    </row>
    <row r="375" spans="5:26" ht="12.75" customHeight="1">
      <c r="E375" s="264"/>
      <c r="F375" s="264"/>
      <c r="O375" s="149"/>
      <c r="P375" s="149"/>
      <c r="V375" s="167"/>
      <c r="W375" s="167"/>
      <c r="X375" s="167"/>
      <c r="Y375" s="167"/>
      <c r="Z375" s="167"/>
    </row>
    <row r="376" spans="5:26" ht="12.75" customHeight="1">
      <c r="E376" s="264"/>
      <c r="F376" s="264"/>
      <c r="O376" s="149"/>
      <c r="P376" s="149"/>
      <c r="V376" s="167"/>
      <c r="W376" s="167"/>
      <c r="X376" s="167"/>
      <c r="Y376" s="167"/>
      <c r="Z376" s="167"/>
    </row>
    <row r="377" spans="5:26" ht="12.75" customHeight="1">
      <c r="E377" s="264"/>
      <c r="F377" s="264"/>
      <c r="O377" s="149"/>
      <c r="P377" s="149"/>
      <c r="V377" s="167"/>
      <c r="W377" s="167"/>
      <c r="X377" s="167"/>
      <c r="Y377" s="167"/>
      <c r="Z377" s="167"/>
    </row>
    <row r="378" spans="5:26" ht="12.75" customHeight="1">
      <c r="E378" s="264"/>
      <c r="F378" s="264"/>
      <c r="O378" s="149"/>
      <c r="P378" s="149"/>
      <c r="V378" s="167"/>
      <c r="W378" s="167"/>
      <c r="X378" s="167"/>
      <c r="Y378" s="167"/>
      <c r="Z378" s="167"/>
    </row>
    <row r="379" spans="5:26" ht="12.75" customHeight="1">
      <c r="E379" s="264"/>
      <c r="F379" s="264"/>
      <c r="O379" s="149"/>
      <c r="P379" s="149"/>
      <c r="V379" s="167"/>
      <c r="W379" s="167"/>
      <c r="X379" s="167"/>
      <c r="Y379" s="167"/>
      <c r="Z379" s="167"/>
    </row>
    <row r="380" spans="5:26" ht="12.75" customHeight="1">
      <c r="E380" s="264"/>
      <c r="F380" s="264"/>
      <c r="O380" s="149"/>
      <c r="P380" s="149"/>
      <c r="V380" s="167"/>
      <c r="W380" s="167"/>
      <c r="X380" s="167"/>
      <c r="Y380" s="167"/>
      <c r="Z380" s="167"/>
    </row>
    <row r="381" spans="5:26" ht="12.75" customHeight="1">
      <c r="E381" s="264"/>
      <c r="F381" s="264"/>
      <c r="O381" s="149"/>
      <c r="P381" s="149"/>
      <c r="V381" s="167"/>
      <c r="W381" s="167"/>
      <c r="X381" s="167"/>
      <c r="Y381" s="167"/>
      <c r="Z381" s="167"/>
    </row>
    <row r="382" spans="5:26" ht="12.75" customHeight="1">
      <c r="E382" s="264"/>
      <c r="F382" s="264"/>
      <c r="O382" s="149"/>
      <c r="P382" s="149"/>
      <c r="V382" s="167"/>
      <c r="W382" s="167"/>
      <c r="X382" s="167"/>
      <c r="Y382" s="167"/>
      <c r="Z382" s="167"/>
    </row>
    <row r="383" spans="5:26" ht="12.75" customHeight="1">
      <c r="E383" s="264"/>
      <c r="F383" s="264"/>
      <c r="O383" s="149"/>
      <c r="P383" s="149"/>
      <c r="V383" s="167"/>
      <c r="W383" s="167"/>
      <c r="X383" s="167"/>
      <c r="Y383" s="167"/>
      <c r="Z383" s="167"/>
    </row>
    <row r="384" spans="5:26" ht="12.75" customHeight="1">
      <c r="E384" s="264"/>
      <c r="F384" s="264"/>
      <c r="O384" s="149"/>
      <c r="P384" s="149"/>
      <c r="V384" s="167"/>
      <c r="W384" s="167"/>
      <c r="X384" s="167"/>
      <c r="Y384" s="167"/>
      <c r="Z384" s="167"/>
    </row>
    <row r="385" spans="5:26" ht="12.75" customHeight="1">
      <c r="E385" s="264"/>
      <c r="F385" s="264"/>
      <c r="O385" s="149"/>
      <c r="P385" s="149"/>
      <c r="V385" s="167"/>
      <c r="W385" s="167"/>
      <c r="X385" s="167"/>
      <c r="Y385" s="167"/>
      <c r="Z385" s="167"/>
    </row>
    <row r="386" spans="5:26" ht="12.75" customHeight="1">
      <c r="E386" s="264"/>
      <c r="F386" s="264"/>
      <c r="O386" s="149"/>
      <c r="P386" s="149"/>
      <c r="V386" s="167"/>
      <c r="W386" s="167"/>
      <c r="X386" s="167"/>
      <c r="Y386" s="167"/>
      <c r="Z386" s="167"/>
    </row>
    <row r="387" spans="5:26" ht="12.75" customHeight="1">
      <c r="E387" s="264"/>
      <c r="F387" s="264"/>
      <c r="O387" s="149"/>
      <c r="P387" s="149"/>
      <c r="V387" s="167"/>
      <c r="W387" s="167"/>
      <c r="X387" s="167"/>
      <c r="Y387" s="167"/>
      <c r="Z387" s="167"/>
    </row>
    <row r="388" spans="5:26" ht="12.75" customHeight="1">
      <c r="E388" s="264"/>
      <c r="F388" s="264"/>
      <c r="O388" s="149"/>
      <c r="P388" s="149"/>
      <c r="V388" s="167"/>
      <c r="W388" s="167"/>
      <c r="X388" s="167"/>
      <c r="Y388" s="167"/>
      <c r="Z388" s="167"/>
    </row>
    <row r="389" spans="5:26" ht="12.75" customHeight="1">
      <c r="E389" s="264"/>
      <c r="F389" s="264"/>
      <c r="O389" s="149"/>
      <c r="P389" s="149"/>
      <c r="V389" s="167"/>
      <c r="W389" s="167"/>
      <c r="X389" s="167"/>
      <c r="Y389" s="167"/>
      <c r="Z389" s="167"/>
    </row>
    <row r="390" spans="5:26" ht="12.75" customHeight="1">
      <c r="E390" s="264"/>
      <c r="F390" s="264"/>
      <c r="O390" s="149"/>
      <c r="P390" s="149"/>
      <c r="V390" s="167"/>
      <c r="W390" s="167"/>
      <c r="X390" s="167"/>
      <c r="Y390" s="167"/>
      <c r="Z390" s="167"/>
    </row>
    <row r="391" spans="5:26" ht="12.75" customHeight="1">
      <c r="E391" s="264"/>
      <c r="F391" s="264"/>
      <c r="O391" s="149"/>
      <c r="P391" s="149"/>
      <c r="V391" s="167"/>
      <c r="W391" s="167"/>
      <c r="X391" s="167"/>
      <c r="Y391" s="167"/>
      <c r="Z391" s="167"/>
    </row>
    <row r="392" spans="5:26" ht="12.75" customHeight="1">
      <c r="E392" s="264"/>
      <c r="F392" s="264"/>
      <c r="O392" s="149"/>
      <c r="P392" s="149"/>
      <c r="V392" s="167"/>
      <c r="W392" s="167"/>
      <c r="X392" s="167"/>
      <c r="Y392" s="167"/>
      <c r="Z392" s="167"/>
    </row>
    <row r="393" spans="5:26" ht="12.75" customHeight="1">
      <c r="E393" s="264"/>
      <c r="F393" s="264"/>
      <c r="O393" s="149"/>
      <c r="P393" s="149"/>
      <c r="V393" s="167"/>
      <c r="W393" s="167"/>
      <c r="X393" s="167"/>
      <c r="Y393" s="167"/>
      <c r="Z393" s="167"/>
    </row>
    <row r="394" spans="5:26" ht="12.75" customHeight="1">
      <c r="E394" s="264"/>
      <c r="F394" s="264"/>
      <c r="O394" s="149"/>
      <c r="P394" s="149"/>
      <c r="V394" s="167"/>
      <c r="W394" s="167"/>
      <c r="X394" s="167"/>
      <c r="Y394" s="167"/>
      <c r="Z394" s="167"/>
    </row>
    <row r="395" spans="5:26" ht="12.75" customHeight="1">
      <c r="E395" s="264"/>
      <c r="F395" s="264"/>
      <c r="O395" s="149"/>
      <c r="P395" s="149"/>
      <c r="V395" s="167"/>
      <c r="W395" s="167"/>
      <c r="X395" s="167"/>
      <c r="Y395" s="167"/>
      <c r="Z395" s="167"/>
    </row>
    <row r="396" spans="5:26" ht="12.75" customHeight="1">
      <c r="E396" s="264"/>
      <c r="F396" s="264"/>
      <c r="O396" s="149"/>
      <c r="P396" s="149"/>
      <c r="V396" s="167"/>
      <c r="W396" s="167"/>
      <c r="X396" s="167"/>
      <c r="Y396" s="167"/>
      <c r="Z396" s="167"/>
    </row>
    <row r="397" spans="5:26" ht="12.75" customHeight="1">
      <c r="E397" s="264"/>
      <c r="F397" s="264"/>
      <c r="O397" s="149"/>
      <c r="P397" s="149"/>
      <c r="V397" s="167"/>
      <c r="W397" s="167"/>
      <c r="X397" s="167"/>
      <c r="Y397" s="167"/>
      <c r="Z397" s="167"/>
    </row>
    <row r="398" spans="5:26" ht="12.75" customHeight="1">
      <c r="E398" s="264"/>
      <c r="F398" s="264"/>
      <c r="O398" s="149"/>
      <c r="P398" s="149"/>
      <c r="V398" s="167"/>
      <c r="W398" s="167"/>
      <c r="X398" s="167"/>
      <c r="Y398" s="167"/>
      <c r="Z398" s="167"/>
    </row>
    <row r="399" spans="5:26" ht="12.75" customHeight="1">
      <c r="E399" s="264"/>
      <c r="F399" s="264"/>
      <c r="O399" s="149"/>
      <c r="P399" s="149"/>
      <c r="V399" s="167"/>
      <c r="W399" s="167"/>
      <c r="X399" s="167"/>
      <c r="Y399" s="167"/>
      <c r="Z399" s="167"/>
    </row>
    <row r="400" spans="5:26" ht="12.75" customHeight="1">
      <c r="E400" s="264"/>
      <c r="F400" s="264"/>
      <c r="O400" s="149"/>
      <c r="P400" s="149"/>
      <c r="V400" s="167"/>
      <c r="W400" s="167"/>
      <c r="X400" s="167"/>
      <c r="Y400" s="167"/>
      <c r="Z400" s="167"/>
    </row>
    <row r="401" spans="5:26" ht="12.75" customHeight="1">
      <c r="E401" s="264"/>
      <c r="F401" s="264"/>
      <c r="O401" s="149"/>
      <c r="P401" s="149"/>
      <c r="V401" s="167"/>
      <c r="W401" s="167"/>
      <c r="X401" s="167"/>
      <c r="Y401" s="167"/>
      <c r="Z401" s="167"/>
    </row>
    <row r="402" spans="5:26" ht="12.75" customHeight="1">
      <c r="E402" s="264"/>
      <c r="F402" s="264"/>
      <c r="O402" s="149"/>
      <c r="P402" s="149"/>
      <c r="V402" s="167"/>
      <c r="W402" s="167"/>
      <c r="X402" s="167"/>
      <c r="Y402" s="167"/>
      <c r="Z402" s="167"/>
    </row>
    <row r="403" spans="5:26" ht="12.75" customHeight="1">
      <c r="E403" s="264"/>
      <c r="F403" s="264"/>
      <c r="O403" s="149"/>
      <c r="P403" s="149"/>
      <c r="V403" s="167"/>
      <c r="W403" s="167"/>
      <c r="X403" s="167"/>
      <c r="Y403" s="167"/>
      <c r="Z403" s="167"/>
    </row>
    <row r="404" spans="5:26" ht="12.75" customHeight="1">
      <c r="E404" s="264"/>
      <c r="F404" s="264"/>
      <c r="O404" s="149"/>
      <c r="P404" s="149"/>
      <c r="V404" s="167"/>
      <c r="W404" s="167"/>
      <c r="X404" s="167"/>
      <c r="Y404" s="167"/>
      <c r="Z404" s="167"/>
    </row>
    <row r="405" spans="5:26" ht="12.75" customHeight="1">
      <c r="E405" s="264"/>
      <c r="F405" s="264"/>
      <c r="O405" s="149"/>
      <c r="P405" s="149"/>
      <c r="V405" s="167"/>
      <c r="W405" s="167"/>
      <c r="X405" s="167"/>
      <c r="Y405" s="167"/>
      <c r="Z405" s="167"/>
    </row>
    <row r="406" spans="5:26" ht="12.75" customHeight="1">
      <c r="E406" s="264"/>
      <c r="F406" s="264"/>
      <c r="O406" s="149"/>
      <c r="P406" s="149"/>
      <c r="V406" s="167"/>
      <c r="W406" s="167"/>
      <c r="X406" s="167"/>
      <c r="Y406" s="167"/>
      <c r="Z406" s="167"/>
    </row>
    <row r="407" spans="5:26" ht="12.75" customHeight="1">
      <c r="E407" s="264"/>
      <c r="F407" s="264"/>
      <c r="O407" s="149"/>
      <c r="P407" s="149"/>
      <c r="V407" s="167"/>
      <c r="W407" s="167"/>
      <c r="X407" s="167"/>
      <c r="Y407" s="167"/>
      <c r="Z407" s="167"/>
    </row>
    <row r="408" spans="5:26" ht="12.75" customHeight="1">
      <c r="E408" s="264"/>
      <c r="F408" s="264"/>
      <c r="O408" s="149"/>
      <c r="P408" s="149"/>
      <c r="V408" s="167"/>
      <c r="W408" s="167"/>
      <c r="X408" s="167"/>
      <c r="Y408" s="167"/>
      <c r="Z408" s="167"/>
    </row>
    <row r="409" spans="5:26" ht="12.75" customHeight="1">
      <c r="E409" s="264"/>
      <c r="F409" s="264"/>
      <c r="O409" s="149"/>
      <c r="P409" s="149"/>
      <c r="V409" s="167"/>
      <c r="W409" s="167"/>
      <c r="X409" s="167"/>
      <c r="Y409" s="167"/>
      <c r="Z409" s="167"/>
    </row>
    <row r="410" spans="5:26" ht="12.75" customHeight="1">
      <c r="E410" s="264"/>
      <c r="F410" s="264"/>
      <c r="O410" s="149"/>
      <c r="P410" s="149"/>
      <c r="V410" s="167"/>
      <c r="W410" s="167"/>
      <c r="X410" s="167"/>
      <c r="Y410" s="167"/>
      <c r="Z410" s="167"/>
    </row>
    <row r="411" spans="5:26" ht="12.75" customHeight="1">
      <c r="E411" s="264"/>
      <c r="F411" s="264"/>
      <c r="O411" s="149"/>
      <c r="P411" s="149"/>
      <c r="V411" s="167"/>
      <c r="W411" s="167"/>
      <c r="X411" s="167"/>
      <c r="Y411" s="167"/>
      <c r="Z411" s="167"/>
    </row>
    <row r="412" spans="5:26" ht="12.75" customHeight="1">
      <c r="E412" s="264"/>
      <c r="F412" s="264"/>
      <c r="O412" s="149"/>
      <c r="P412" s="149"/>
      <c r="V412" s="167"/>
      <c r="W412" s="167"/>
      <c r="X412" s="167"/>
      <c r="Y412" s="167"/>
      <c r="Z412" s="167"/>
    </row>
    <row r="413" spans="5:26" ht="12.75" customHeight="1">
      <c r="E413" s="264"/>
      <c r="F413" s="264"/>
      <c r="O413" s="149"/>
      <c r="P413" s="149"/>
      <c r="V413" s="167"/>
      <c r="W413" s="167"/>
      <c r="X413" s="167"/>
      <c r="Y413" s="167"/>
      <c r="Z413" s="167"/>
    </row>
    <row r="414" spans="5:26" ht="12.75" customHeight="1">
      <c r="E414" s="264"/>
      <c r="F414" s="264"/>
      <c r="O414" s="149"/>
      <c r="P414" s="149"/>
      <c r="V414" s="167"/>
      <c r="W414" s="167"/>
      <c r="X414" s="167"/>
      <c r="Y414" s="167"/>
      <c r="Z414" s="167"/>
    </row>
    <row r="415" spans="5:26" ht="12.75" customHeight="1">
      <c r="E415" s="264"/>
      <c r="F415" s="264"/>
      <c r="O415" s="149"/>
      <c r="P415" s="149"/>
      <c r="V415" s="167"/>
      <c r="W415" s="167"/>
      <c r="X415" s="167"/>
      <c r="Y415" s="167"/>
      <c r="Z415" s="167"/>
    </row>
    <row r="416" spans="5:26" ht="12.75" customHeight="1">
      <c r="E416" s="264"/>
      <c r="F416" s="264"/>
      <c r="O416" s="149"/>
      <c r="P416" s="149"/>
      <c r="V416" s="167"/>
      <c r="W416" s="167"/>
      <c r="X416" s="167"/>
      <c r="Y416" s="167"/>
      <c r="Z416" s="167"/>
    </row>
    <row r="417" spans="5:26" ht="12.75" customHeight="1">
      <c r="E417" s="264"/>
      <c r="F417" s="264"/>
      <c r="O417" s="149"/>
      <c r="P417" s="149"/>
      <c r="V417" s="167"/>
      <c r="W417" s="167"/>
      <c r="X417" s="167"/>
      <c r="Y417" s="167"/>
      <c r="Z417" s="167"/>
    </row>
    <row r="418" spans="5:26" ht="12.75" customHeight="1">
      <c r="E418" s="264"/>
      <c r="F418" s="264"/>
      <c r="O418" s="149"/>
      <c r="P418" s="149"/>
      <c r="V418" s="167"/>
      <c r="W418" s="167"/>
      <c r="X418" s="167"/>
      <c r="Y418" s="167"/>
      <c r="Z418" s="167"/>
    </row>
    <row r="419" spans="5:26" ht="12.75" customHeight="1">
      <c r="E419" s="264"/>
      <c r="F419" s="264"/>
      <c r="O419" s="149"/>
      <c r="P419" s="149"/>
      <c r="V419" s="167"/>
      <c r="W419" s="167"/>
      <c r="X419" s="167"/>
      <c r="Y419" s="167"/>
      <c r="Z419" s="167"/>
    </row>
    <row r="420" spans="5:26" ht="12.75" customHeight="1">
      <c r="E420" s="264"/>
      <c r="F420" s="264"/>
      <c r="O420" s="149"/>
      <c r="P420" s="149"/>
      <c r="V420" s="167"/>
      <c r="W420" s="167"/>
      <c r="X420" s="167"/>
      <c r="Y420" s="167"/>
      <c r="Z420" s="167"/>
    </row>
    <row r="421" spans="5:26" ht="12.75" customHeight="1">
      <c r="E421" s="264"/>
      <c r="F421" s="264"/>
      <c r="O421" s="149"/>
      <c r="P421" s="149"/>
      <c r="V421" s="167"/>
      <c r="W421" s="167"/>
      <c r="X421" s="167"/>
      <c r="Y421" s="167"/>
      <c r="Z421" s="167"/>
    </row>
    <row r="422" spans="5:26" ht="12.75" customHeight="1">
      <c r="E422" s="264"/>
      <c r="F422" s="264"/>
      <c r="O422" s="149"/>
      <c r="P422" s="149"/>
      <c r="V422" s="167"/>
      <c r="W422" s="167"/>
      <c r="X422" s="167"/>
      <c r="Y422" s="167"/>
      <c r="Z422" s="167"/>
    </row>
    <row r="423" spans="5:26" ht="12.75" customHeight="1">
      <c r="E423" s="264"/>
      <c r="F423" s="264"/>
      <c r="O423" s="149"/>
      <c r="P423" s="149"/>
      <c r="V423" s="167"/>
      <c r="W423" s="167"/>
      <c r="X423" s="167"/>
      <c r="Y423" s="167"/>
      <c r="Z423" s="167"/>
    </row>
    <row r="424" spans="5:26" ht="12.75" customHeight="1">
      <c r="E424" s="264"/>
      <c r="F424" s="264"/>
      <c r="O424" s="149"/>
      <c r="P424" s="149"/>
      <c r="V424" s="167"/>
      <c r="W424" s="167"/>
      <c r="X424" s="167"/>
      <c r="Y424" s="167"/>
      <c r="Z424" s="167"/>
    </row>
    <row r="425" spans="5:26" ht="12.75" customHeight="1">
      <c r="E425" s="264"/>
      <c r="F425" s="264"/>
      <c r="O425" s="149"/>
      <c r="P425" s="149"/>
      <c r="V425" s="167"/>
      <c r="W425" s="167"/>
      <c r="X425" s="167"/>
      <c r="Y425" s="167"/>
      <c r="Z425" s="167"/>
    </row>
    <row r="426" spans="5:26" ht="12.75" customHeight="1">
      <c r="E426" s="264"/>
      <c r="F426" s="264"/>
      <c r="O426" s="149"/>
      <c r="P426" s="149"/>
      <c r="V426" s="167"/>
      <c r="W426" s="167"/>
      <c r="X426" s="167"/>
      <c r="Y426" s="167"/>
      <c r="Z426" s="167"/>
    </row>
    <row r="427" spans="5:26" ht="12.75" customHeight="1">
      <c r="E427" s="264"/>
      <c r="F427" s="264"/>
      <c r="O427" s="149"/>
      <c r="P427" s="149"/>
      <c r="V427" s="167"/>
      <c r="W427" s="167"/>
      <c r="X427" s="167"/>
      <c r="Y427" s="167"/>
      <c r="Z427" s="167"/>
    </row>
    <row r="428" spans="5:26" ht="12.75" customHeight="1">
      <c r="E428" s="264"/>
      <c r="F428" s="264"/>
      <c r="O428" s="149"/>
      <c r="P428" s="149"/>
      <c r="V428" s="167"/>
      <c r="W428" s="167"/>
      <c r="X428" s="167"/>
      <c r="Y428" s="167"/>
      <c r="Z428" s="167"/>
    </row>
    <row r="429" spans="5:26" ht="12.75" customHeight="1">
      <c r="E429" s="264"/>
      <c r="F429" s="264"/>
      <c r="O429" s="149"/>
      <c r="P429" s="149"/>
      <c r="V429" s="167"/>
      <c r="W429" s="167"/>
      <c r="X429" s="167"/>
      <c r="Y429" s="167"/>
      <c r="Z429" s="167"/>
    </row>
    <row r="430" spans="5:26" ht="12.75" customHeight="1">
      <c r="E430" s="264"/>
      <c r="F430" s="264"/>
      <c r="O430" s="149"/>
      <c r="P430" s="149"/>
      <c r="V430" s="167"/>
      <c r="W430" s="167"/>
      <c r="X430" s="167"/>
      <c r="Y430" s="167"/>
      <c r="Z430" s="167"/>
    </row>
    <row r="431" spans="5:26" ht="12.75" customHeight="1">
      <c r="E431" s="264"/>
      <c r="F431" s="264"/>
      <c r="O431" s="149"/>
      <c r="P431" s="149"/>
      <c r="V431" s="167"/>
      <c r="W431" s="167"/>
      <c r="X431" s="167"/>
      <c r="Y431" s="167"/>
      <c r="Z431" s="167"/>
    </row>
    <row r="432" spans="5:26" ht="12.75" customHeight="1">
      <c r="E432" s="264"/>
      <c r="F432" s="264"/>
      <c r="O432" s="149"/>
      <c r="P432" s="149"/>
      <c r="V432" s="167"/>
      <c r="W432" s="167"/>
      <c r="X432" s="167"/>
      <c r="Y432" s="167"/>
      <c r="Z432" s="167"/>
    </row>
    <row r="433" spans="5:26" ht="12.75" customHeight="1">
      <c r="E433" s="264"/>
      <c r="F433" s="264"/>
      <c r="O433" s="149"/>
      <c r="P433" s="149"/>
      <c r="V433" s="167"/>
      <c r="W433" s="167"/>
      <c r="X433" s="167"/>
      <c r="Y433" s="167"/>
      <c r="Z433" s="167"/>
    </row>
    <row r="434" spans="5:26" ht="12.75" customHeight="1">
      <c r="E434" s="264"/>
      <c r="F434" s="264"/>
      <c r="O434" s="149"/>
      <c r="P434" s="149"/>
      <c r="V434" s="167"/>
      <c r="W434" s="167"/>
      <c r="X434" s="167"/>
      <c r="Y434" s="167"/>
      <c r="Z434" s="167"/>
    </row>
    <row r="435" spans="5:26" ht="12.75" customHeight="1">
      <c r="E435" s="264"/>
      <c r="F435" s="264"/>
      <c r="O435" s="149"/>
      <c r="P435" s="149"/>
      <c r="V435" s="167"/>
      <c r="W435" s="167"/>
      <c r="X435" s="167"/>
      <c r="Y435" s="167"/>
      <c r="Z435" s="167"/>
    </row>
    <row r="436" spans="5:26" ht="12.75" customHeight="1">
      <c r="E436" s="264"/>
      <c r="F436" s="264"/>
      <c r="O436" s="149"/>
      <c r="P436" s="149"/>
      <c r="V436" s="167"/>
      <c r="W436" s="167"/>
      <c r="X436" s="167"/>
      <c r="Y436" s="167"/>
      <c r="Z436" s="167"/>
    </row>
    <row r="437" spans="5:26" ht="12.75" customHeight="1">
      <c r="E437" s="264"/>
      <c r="F437" s="264"/>
      <c r="O437" s="149"/>
      <c r="P437" s="149"/>
      <c r="V437" s="167"/>
      <c r="W437" s="167"/>
      <c r="X437" s="167"/>
      <c r="Y437" s="167"/>
      <c r="Z437" s="167"/>
    </row>
    <row r="438" spans="5:26" ht="12.75" customHeight="1">
      <c r="E438" s="264"/>
      <c r="F438" s="264"/>
      <c r="O438" s="149"/>
      <c r="P438" s="149"/>
      <c r="V438" s="167"/>
      <c r="W438" s="167"/>
      <c r="X438" s="167"/>
      <c r="Y438" s="167"/>
      <c r="Z438" s="167"/>
    </row>
    <row r="439" spans="5:26" ht="12.75" customHeight="1">
      <c r="E439" s="264"/>
      <c r="F439" s="264"/>
      <c r="O439" s="149"/>
      <c r="P439" s="149"/>
      <c r="V439" s="167"/>
      <c r="W439" s="167"/>
      <c r="X439" s="167"/>
      <c r="Y439" s="167"/>
      <c r="Z439" s="167"/>
    </row>
    <row r="440" spans="5:26" ht="12.75" customHeight="1">
      <c r="E440" s="264"/>
      <c r="F440" s="264"/>
      <c r="O440" s="149"/>
      <c r="P440" s="149"/>
      <c r="V440" s="167"/>
      <c r="W440" s="167"/>
      <c r="X440" s="167"/>
      <c r="Y440" s="167"/>
      <c r="Z440" s="167"/>
    </row>
    <row r="441" spans="5:26" ht="12.75" customHeight="1">
      <c r="E441" s="264"/>
      <c r="F441" s="264"/>
      <c r="O441" s="149"/>
      <c r="P441" s="149"/>
      <c r="V441" s="167"/>
      <c r="W441" s="167"/>
      <c r="X441" s="167"/>
      <c r="Y441" s="167"/>
      <c r="Z441" s="167"/>
    </row>
    <row r="442" spans="5:26" ht="12.75" customHeight="1">
      <c r="E442" s="264"/>
      <c r="F442" s="264"/>
      <c r="O442" s="149"/>
      <c r="P442" s="149"/>
      <c r="V442" s="167"/>
      <c r="W442" s="167"/>
      <c r="X442" s="167"/>
      <c r="Y442" s="167"/>
      <c r="Z442" s="167"/>
    </row>
    <row r="443" spans="5:26" ht="12.75" customHeight="1">
      <c r="E443" s="264"/>
      <c r="F443" s="264"/>
      <c r="O443" s="149"/>
      <c r="P443" s="149"/>
      <c r="V443" s="167"/>
      <c r="W443" s="167"/>
      <c r="X443" s="167"/>
      <c r="Y443" s="167"/>
      <c r="Z443" s="167"/>
    </row>
    <row r="444" spans="5:26" ht="12.75" customHeight="1">
      <c r="E444" s="264"/>
      <c r="F444" s="264"/>
      <c r="O444" s="149"/>
      <c r="P444" s="149"/>
      <c r="V444" s="167"/>
      <c r="W444" s="167"/>
      <c r="X444" s="167"/>
      <c r="Y444" s="167"/>
      <c r="Z444" s="167"/>
    </row>
    <row r="445" spans="5:26" ht="12.75" customHeight="1">
      <c r="E445" s="264"/>
      <c r="F445" s="264"/>
      <c r="O445" s="149"/>
      <c r="P445" s="149"/>
      <c r="V445" s="167"/>
      <c r="W445" s="167"/>
      <c r="X445" s="167"/>
      <c r="Y445" s="167"/>
      <c r="Z445" s="167"/>
    </row>
    <row r="446" spans="5:26" ht="12.75" customHeight="1">
      <c r="E446" s="264"/>
      <c r="F446" s="264"/>
      <c r="O446" s="149"/>
      <c r="P446" s="149"/>
      <c r="V446" s="167"/>
      <c r="W446" s="167"/>
      <c r="X446" s="167"/>
      <c r="Y446" s="167"/>
      <c r="Z446" s="167"/>
    </row>
    <row r="447" spans="5:26" ht="12.75" customHeight="1">
      <c r="E447" s="264"/>
      <c r="F447" s="264"/>
      <c r="O447" s="149"/>
      <c r="P447" s="149"/>
      <c r="V447" s="167"/>
      <c r="W447" s="167"/>
      <c r="X447" s="167"/>
      <c r="Y447" s="167"/>
      <c r="Z447" s="167"/>
    </row>
    <row r="448" spans="5:26" ht="12.75" customHeight="1">
      <c r="E448" s="264"/>
      <c r="F448" s="264"/>
      <c r="O448" s="149"/>
      <c r="P448" s="149"/>
      <c r="V448" s="167"/>
      <c r="W448" s="167"/>
      <c r="X448" s="167"/>
      <c r="Y448" s="167"/>
      <c r="Z448" s="167"/>
    </row>
    <row r="449" spans="5:26" ht="12.75" customHeight="1">
      <c r="E449" s="264"/>
      <c r="F449" s="264"/>
      <c r="O449" s="149"/>
      <c r="P449" s="149"/>
      <c r="V449" s="167"/>
      <c r="W449" s="167"/>
      <c r="X449" s="167"/>
      <c r="Y449" s="167"/>
      <c r="Z449" s="167"/>
    </row>
    <row r="450" spans="5:26" ht="12.75" customHeight="1">
      <c r="E450" s="264"/>
      <c r="F450" s="264"/>
      <c r="O450" s="149"/>
      <c r="P450" s="149"/>
      <c r="V450" s="167"/>
      <c r="W450" s="167"/>
      <c r="X450" s="167"/>
      <c r="Y450" s="167"/>
      <c r="Z450" s="167"/>
    </row>
    <row r="451" spans="5:26" ht="12.75" customHeight="1">
      <c r="E451" s="264"/>
      <c r="F451" s="264"/>
      <c r="O451" s="149"/>
      <c r="P451" s="149"/>
      <c r="V451" s="167"/>
      <c r="W451" s="167"/>
      <c r="X451" s="167"/>
      <c r="Y451" s="167"/>
      <c r="Z451" s="167"/>
    </row>
    <row r="452" spans="5:26" ht="12.75" customHeight="1">
      <c r="E452" s="264"/>
      <c r="F452" s="264"/>
      <c r="O452" s="149"/>
      <c r="P452" s="149"/>
      <c r="V452" s="167"/>
      <c r="W452" s="167"/>
      <c r="X452" s="167"/>
      <c r="Y452" s="167"/>
      <c r="Z452" s="167"/>
    </row>
    <row r="453" spans="5:26" ht="12.75" customHeight="1">
      <c r="E453" s="264"/>
      <c r="F453" s="264"/>
      <c r="O453" s="149"/>
      <c r="P453" s="149"/>
      <c r="V453" s="167"/>
      <c r="W453" s="167"/>
      <c r="X453" s="167"/>
      <c r="Y453" s="167"/>
      <c r="Z453" s="167"/>
    </row>
    <row r="454" spans="5:26" ht="12.75" customHeight="1">
      <c r="E454" s="264"/>
      <c r="F454" s="264"/>
      <c r="O454" s="149"/>
      <c r="P454" s="149"/>
      <c r="V454" s="167"/>
      <c r="W454" s="167"/>
      <c r="X454" s="167"/>
      <c r="Y454" s="167"/>
      <c r="Z454" s="167"/>
    </row>
    <row r="455" spans="5:26" ht="12.75" customHeight="1">
      <c r="E455" s="264"/>
      <c r="F455" s="264"/>
      <c r="O455" s="149"/>
      <c r="P455" s="149"/>
      <c r="V455" s="167"/>
      <c r="W455" s="167"/>
      <c r="X455" s="167"/>
      <c r="Y455" s="167"/>
      <c r="Z455" s="167"/>
    </row>
    <row r="456" spans="5:26" ht="12.75" customHeight="1">
      <c r="E456" s="264"/>
      <c r="F456" s="264"/>
      <c r="O456" s="149"/>
      <c r="P456" s="149"/>
      <c r="V456" s="167"/>
      <c r="W456" s="167"/>
      <c r="X456" s="167"/>
      <c r="Y456" s="167"/>
      <c r="Z456" s="167"/>
    </row>
    <row r="457" spans="5:26" ht="12.75" customHeight="1">
      <c r="E457" s="264"/>
      <c r="F457" s="264"/>
      <c r="O457" s="149"/>
      <c r="P457" s="149"/>
      <c r="V457" s="167"/>
      <c r="W457" s="167"/>
      <c r="X457" s="167"/>
      <c r="Y457" s="167"/>
      <c r="Z457" s="167"/>
    </row>
    <row r="458" spans="5:26" ht="12.75" customHeight="1">
      <c r="E458" s="264"/>
      <c r="F458" s="264"/>
      <c r="O458" s="149"/>
      <c r="P458" s="149"/>
      <c r="V458" s="167"/>
      <c r="W458" s="167"/>
      <c r="X458" s="167"/>
      <c r="Y458" s="167"/>
      <c r="Z458" s="167"/>
    </row>
    <row r="459" spans="5:26" ht="12.75" customHeight="1">
      <c r="E459" s="264"/>
      <c r="F459" s="264"/>
      <c r="O459" s="149"/>
      <c r="P459" s="149"/>
      <c r="V459" s="167"/>
      <c r="W459" s="167"/>
      <c r="X459" s="167"/>
      <c r="Y459" s="167"/>
      <c r="Z459" s="167"/>
    </row>
    <row r="460" spans="5:26" ht="12.75" customHeight="1">
      <c r="E460" s="264"/>
      <c r="F460" s="264"/>
      <c r="O460" s="149"/>
      <c r="P460" s="149"/>
      <c r="V460" s="167"/>
      <c r="W460" s="167"/>
      <c r="X460" s="167"/>
      <c r="Y460" s="167"/>
      <c r="Z460" s="167"/>
    </row>
    <row r="461" spans="5:26" ht="12.75" customHeight="1">
      <c r="E461" s="264"/>
      <c r="F461" s="264"/>
      <c r="O461" s="149"/>
      <c r="P461" s="149"/>
      <c r="V461" s="167"/>
      <c r="W461" s="167"/>
      <c r="X461" s="167"/>
      <c r="Y461" s="167"/>
      <c r="Z461" s="167"/>
    </row>
    <row r="462" spans="5:26" ht="12.75" customHeight="1">
      <c r="E462" s="264"/>
      <c r="F462" s="264"/>
      <c r="O462" s="149"/>
      <c r="P462" s="149"/>
      <c r="V462" s="167"/>
      <c r="W462" s="167"/>
      <c r="X462" s="167"/>
      <c r="Y462" s="167"/>
      <c r="Z462" s="167"/>
    </row>
    <row r="463" spans="5:26" ht="12.75" customHeight="1">
      <c r="E463" s="264"/>
      <c r="F463" s="264"/>
      <c r="O463" s="149"/>
      <c r="P463" s="149"/>
      <c r="V463" s="167"/>
      <c r="W463" s="167"/>
      <c r="X463" s="167"/>
      <c r="Y463" s="167"/>
      <c r="Z463" s="167"/>
    </row>
    <row r="464" spans="5:26" ht="12.75" customHeight="1">
      <c r="E464" s="264"/>
      <c r="F464" s="264"/>
      <c r="O464" s="149"/>
      <c r="P464" s="149"/>
      <c r="V464" s="167"/>
      <c r="W464" s="167"/>
      <c r="X464" s="167"/>
      <c r="Y464" s="167"/>
      <c r="Z464" s="167"/>
    </row>
    <row r="465" spans="5:26" ht="12.75" customHeight="1">
      <c r="E465" s="264"/>
      <c r="F465" s="264"/>
      <c r="O465" s="149"/>
      <c r="P465" s="149"/>
      <c r="V465" s="167"/>
      <c r="W465" s="167"/>
      <c r="X465" s="167"/>
      <c r="Y465" s="167"/>
      <c r="Z465" s="167"/>
    </row>
    <row r="466" spans="5:26" ht="12.75" customHeight="1">
      <c r="E466" s="264"/>
      <c r="F466" s="264"/>
      <c r="O466" s="149"/>
      <c r="P466" s="149"/>
      <c r="V466" s="167"/>
      <c r="W466" s="167"/>
      <c r="X466" s="167"/>
      <c r="Y466" s="167"/>
      <c r="Z466" s="167"/>
    </row>
    <row r="467" spans="5:26" ht="12.75" customHeight="1">
      <c r="E467" s="264"/>
      <c r="F467" s="264"/>
      <c r="O467" s="149"/>
      <c r="P467" s="149"/>
      <c r="V467" s="167"/>
      <c r="W467" s="167"/>
      <c r="X467" s="167"/>
      <c r="Y467" s="167"/>
      <c r="Z467" s="167"/>
    </row>
    <row r="468" spans="5:26" ht="12.75" customHeight="1">
      <c r="E468" s="264"/>
      <c r="F468" s="264"/>
      <c r="O468" s="149"/>
      <c r="P468" s="149"/>
      <c r="V468" s="167"/>
      <c r="W468" s="167"/>
      <c r="X468" s="167"/>
      <c r="Y468" s="167"/>
      <c r="Z468" s="167"/>
    </row>
    <row r="469" spans="5:26" ht="12.75" customHeight="1">
      <c r="E469" s="264"/>
      <c r="F469" s="264"/>
      <c r="O469" s="149"/>
      <c r="P469" s="149"/>
      <c r="V469" s="167"/>
      <c r="W469" s="167"/>
      <c r="X469" s="167"/>
      <c r="Y469" s="167"/>
      <c r="Z469" s="167"/>
    </row>
    <row r="470" spans="5:26" ht="12.75" customHeight="1">
      <c r="E470" s="264"/>
      <c r="F470" s="264"/>
      <c r="O470" s="149"/>
      <c r="P470" s="149"/>
      <c r="V470" s="167"/>
      <c r="W470" s="167"/>
      <c r="X470" s="167"/>
      <c r="Y470" s="167"/>
      <c r="Z470" s="167"/>
    </row>
    <row r="471" spans="5:26" ht="12.75" customHeight="1">
      <c r="E471" s="264"/>
      <c r="F471" s="264"/>
      <c r="O471" s="149"/>
      <c r="P471" s="149"/>
      <c r="V471" s="167"/>
      <c r="W471" s="167"/>
      <c r="X471" s="167"/>
      <c r="Y471" s="167"/>
      <c r="Z471" s="167"/>
    </row>
    <row r="472" spans="5:26" ht="12.75" customHeight="1">
      <c r="E472" s="264"/>
      <c r="F472" s="264"/>
      <c r="O472" s="149"/>
      <c r="P472" s="149"/>
      <c r="V472" s="167"/>
      <c r="W472" s="167"/>
      <c r="X472" s="167"/>
      <c r="Y472" s="167"/>
      <c r="Z472" s="167"/>
    </row>
    <row r="473" spans="5:26" ht="12.75" customHeight="1">
      <c r="E473" s="264"/>
      <c r="F473" s="264"/>
      <c r="O473" s="149"/>
      <c r="P473" s="149"/>
      <c r="V473" s="167"/>
      <c r="W473" s="167"/>
      <c r="X473" s="167"/>
      <c r="Y473" s="167"/>
      <c r="Z473" s="167"/>
    </row>
    <row r="474" spans="5:26" ht="12.75" customHeight="1">
      <c r="E474" s="264"/>
      <c r="F474" s="264"/>
      <c r="O474" s="149"/>
      <c r="P474" s="149"/>
      <c r="V474" s="167"/>
      <c r="W474" s="167"/>
      <c r="X474" s="167"/>
      <c r="Y474" s="167"/>
      <c r="Z474" s="167"/>
    </row>
    <row r="475" spans="5:26" ht="12.75" customHeight="1">
      <c r="E475" s="264"/>
      <c r="F475" s="264"/>
      <c r="O475" s="149"/>
      <c r="P475" s="149"/>
      <c r="V475" s="167"/>
      <c r="W475" s="167"/>
      <c r="X475" s="167"/>
      <c r="Y475" s="167"/>
      <c r="Z475" s="167"/>
    </row>
    <row r="476" spans="5:26" ht="12.75" customHeight="1">
      <c r="E476" s="264"/>
      <c r="F476" s="264"/>
      <c r="O476" s="149"/>
      <c r="P476" s="149"/>
      <c r="V476" s="167"/>
      <c r="W476" s="167"/>
      <c r="X476" s="167"/>
      <c r="Y476" s="167"/>
      <c r="Z476" s="167"/>
    </row>
    <row r="477" spans="5:26" ht="12.75" customHeight="1">
      <c r="E477" s="264"/>
      <c r="F477" s="264"/>
      <c r="O477" s="149"/>
      <c r="P477" s="149"/>
      <c r="V477" s="167"/>
      <c r="W477" s="167"/>
      <c r="X477" s="167"/>
      <c r="Y477" s="167"/>
      <c r="Z477" s="167"/>
    </row>
    <row r="478" spans="5:26" ht="12.75" customHeight="1">
      <c r="E478" s="264"/>
      <c r="F478" s="264"/>
      <c r="O478" s="149"/>
      <c r="P478" s="149"/>
      <c r="V478" s="167"/>
      <c r="W478" s="167"/>
      <c r="X478" s="167"/>
      <c r="Y478" s="167"/>
      <c r="Z478" s="167"/>
    </row>
    <row r="479" spans="5:26" ht="12.75" customHeight="1">
      <c r="E479" s="264"/>
      <c r="F479" s="264"/>
      <c r="O479" s="149"/>
      <c r="P479" s="149"/>
      <c r="V479" s="167"/>
      <c r="W479" s="167"/>
      <c r="X479" s="167"/>
      <c r="Y479" s="167"/>
      <c r="Z479" s="167"/>
    </row>
    <row r="480" spans="5:26" ht="12.75" customHeight="1">
      <c r="E480" s="264"/>
      <c r="F480" s="264"/>
      <c r="O480" s="149"/>
      <c r="P480" s="149"/>
      <c r="V480" s="167"/>
      <c r="W480" s="167"/>
      <c r="X480" s="167"/>
      <c r="Y480" s="167"/>
      <c r="Z480" s="167"/>
    </row>
    <row r="481" spans="5:26" ht="12.75" customHeight="1">
      <c r="E481" s="264"/>
      <c r="F481" s="264"/>
      <c r="O481" s="149"/>
      <c r="P481" s="149"/>
      <c r="V481" s="167"/>
      <c r="W481" s="167"/>
      <c r="X481" s="167"/>
      <c r="Y481" s="167"/>
      <c r="Z481" s="167"/>
    </row>
    <row r="482" spans="5:26" ht="12.75" customHeight="1">
      <c r="E482" s="264"/>
      <c r="F482" s="264"/>
      <c r="O482" s="149"/>
      <c r="P482" s="149"/>
      <c r="V482" s="167"/>
      <c r="W482" s="167"/>
      <c r="X482" s="167"/>
      <c r="Y482" s="167"/>
      <c r="Z482" s="167"/>
    </row>
    <row r="483" spans="5:26" ht="12.75" customHeight="1">
      <c r="E483" s="264"/>
      <c r="F483" s="264"/>
      <c r="O483" s="149"/>
      <c r="P483" s="149"/>
      <c r="V483" s="167"/>
      <c r="W483" s="167"/>
      <c r="X483" s="167"/>
      <c r="Y483" s="167"/>
      <c r="Z483" s="167"/>
    </row>
    <row r="484" spans="5:26" ht="12.75" customHeight="1">
      <c r="E484" s="264"/>
      <c r="F484" s="264"/>
      <c r="O484" s="149"/>
      <c r="P484" s="149"/>
      <c r="V484" s="167"/>
      <c r="W484" s="167"/>
      <c r="X484" s="167"/>
      <c r="Y484" s="167"/>
      <c r="Z484" s="167"/>
    </row>
    <row r="485" spans="5:26" ht="12.75" customHeight="1">
      <c r="E485" s="264"/>
      <c r="F485" s="264"/>
      <c r="O485" s="149"/>
      <c r="P485" s="149"/>
      <c r="V485" s="167"/>
      <c r="W485" s="167"/>
      <c r="X485" s="167"/>
      <c r="Y485" s="167"/>
      <c r="Z485" s="167"/>
    </row>
    <row r="486" spans="5:26" ht="12.75" customHeight="1">
      <c r="E486" s="264"/>
      <c r="F486" s="264"/>
      <c r="O486" s="149"/>
      <c r="P486" s="149"/>
      <c r="V486" s="167"/>
      <c r="W486" s="167"/>
      <c r="X486" s="167"/>
      <c r="Y486" s="167"/>
      <c r="Z486" s="167"/>
    </row>
    <row r="487" spans="5:26" ht="12.75" customHeight="1">
      <c r="E487" s="264"/>
      <c r="F487" s="264"/>
      <c r="O487" s="149"/>
      <c r="P487" s="149"/>
      <c r="V487" s="167"/>
      <c r="W487" s="167"/>
      <c r="X487" s="167"/>
      <c r="Y487" s="167"/>
      <c r="Z487" s="167"/>
    </row>
    <row r="488" spans="5:26" ht="12.75" customHeight="1">
      <c r="E488" s="264"/>
      <c r="F488" s="264"/>
      <c r="O488" s="149"/>
      <c r="P488" s="149"/>
      <c r="V488" s="167"/>
      <c r="W488" s="167"/>
      <c r="X488" s="167"/>
      <c r="Y488" s="167"/>
      <c r="Z488" s="167"/>
    </row>
    <row r="489" spans="5:26" ht="12.75" customHeight="1">
      <c r="E489" s="264"/>
      <c r="F489" s="264"/>
      <c r="O489" s="149"/>
      <c r="P489" s="149"/>
      <c r="V489" s="167"/>
      <c r="W489" s="167"/>
      <c r="X489" s="167"/>
      <c r="Y489" s="167"/>
      <c r="Z489" s="167"/>
    </row>
    <row r="490" spans="5:26" ht="12.75" customHeight="1">
      <c r="E490" s="264"/>
      <c r="F490" s="264"/>
      <c r="O490" s="149"/>
      <c r="P490" s="149"/>
      <c r="V490" s="167"/>
      <c r="W490" s="167"/>
      <c r="X490" s="167"/>
      <c r="Y490" s="167"/>
      <c r="Z490" s="167"/>
    </row>
    <row r="491" spans="5:26" ht="12.75" customHeight="1">
      <c r="E491" s="264"/>
      <c r="F491" s="264"/>
      <c r="O491" s="149"/>
      <c r="P491" s="149"/>
      <c r="V491" s="167"/>
      <c r="W491" s="167"/>
      <c r="X491" s="167"/>
      <c r="Y491" s="167"/>
      <c r="Z491" s="167"/>
    </row>
    <row r="492" spans="5:26" ht="12.75" customHeight="1">
      <c r="E492" s="264"/>
      <c r="F492" s="264"/>
      <c r="O492" s="149"/>
      <c r="P492" s="149"/>
      <c r="V492" s="167"/>
      <c r="W492" s="167"/>
      <c r="X492" s="167"/>
      <c r="Y492" s="167"/>
      <c r="Z492" s="167"/>
    </row>
    <row r="493" spans="5:26" ht="12.75" customHeight="1">
      <c r="E493" s="264"/>
      <c r="F493" s="264"/>
      <c r="O493" s="149"/>
      <c r="P493" s="149"/>
      <c r="V493" s="167"/>
      <c r="W493" s="167"/>
      <c r="X493" s="167"/>
      <c r="Y493" s="167"/>
      <c r="Z493" s="167"/>
    </row>
    <row r="494" spans="5:26" ht="12.75" customHeight="1">
      <c r="E494" s="264"/>
      <c r="F494" s="264"/>
      <c r="O494" s="149"/>
      <c r="P494" s="149"/>
      <c r="V494" s="167"/>
      <c r="W494" s="167"/>
      <c r="X494" s="167"/>
      <c r="Y494" s="167"/>
      <c r="Z494" s="167"/>
    </row>
    <row r="495" spans="5:26" ht="12.75" customHeight="1">
      <c r="E495" s="264"/>
      <c r="F495" s="264"/>
      <c r="O495" s="149"/>
      <c r="P495" s="149"/>
      <c r="V495" s="167"/>
      <c r="W495" s="167"/>
      <c r="X495" s="167"/>
      <c r="Y495" s="167"/>
      <c r="Z495" s="167"/>
    </row>
    <row r="496" spans="5:26" ht="12.75" customHeight="1">
      <c r="E496" s="264"/>
      <c r="F496" s="264"/>
      <c r="O496" s="149"/>
      <c r="P496" s="149"/>
      <c r="V496" s="167"/>
      <c r="W496" s="167"/>
      <c r="X496" s="167"/>
      <c r="Y496" s="167"/>
      <c r="Z496" s="167"/>
    </row>
    <row r="497" spans="5:26" ht="12.75" customHeight="1">
      <c r="E497" s="264"/>
      <c r="F497" s="264"/>
      <c r="O497" s="149"/>
      <c r="P497" s="149"/>
      <c r="V497" s="167"/>
      <c r="W497" s="167"/>
      <c r="X497" s="167"/>
      <c r="Y497" s="167"/>
      <c r="Z497" s="167"/>
    </row>
    <row r="498" spans="5:26" ht="12.75" customHeight="1">
      <c r="E498" s="264"/>
      <c r="F498" s="264"/>
      <c r="O498" s="149"/>
      <c r="P498" s="149"/>
      <c r="V498" s="167"/>
      <c r="W498" s="167"/>
      <c r="X498" s="167"/>
      <c r="Y498" s="167"/>
      <c r="Z498" s="167"/>
    </row>
    <row r="499" spans="5:26" ht="12.75" customHeight="1">
      <c r="E499" s="264"/>
      <c r="F499" s="264"/>
      <c r="O499" s="149"/>
      <c r="P499" s="149"/>
      <c r="V499" s="167"/>
      <c r="W499" s="167"/>
      <c r="X499" s="167"/>
      <c r="Y499" s="167"/>
      <c r="Z499" s="167"/>
    </row>
    <row r="500" spans="5:26" ht="12.75" customHeight="1">
      <c r="E500" s="264"/>
      <c r="F500" s="264"/>
      <c r="O500" s="149"/>
      <c r="P500" s="149"/>
      <c r="V500" s="167"/>
      <c r="W500" s="167"/>
      <c r="X500" s="167"/>
      <c r="Y500" s="167"/>
      <c r="Z500" s="167"/>
    </row>
    <row r="501" spans="5:26" ht="12.75" customHeight="1">
      <c r="E501" s="264"/>
      <c r="F501" s="264"/>
      <c r="O501" s="149"/>
      <c r="P501" s="149"/>
      <c r="V501" s="167"/>
      <c r="W501" s="167"/>
      <c r="X501" s="167"/>
      <c r="Y501" s="167"/>
      <c r="Z501" s="167"/>
    </row>
    <row r="502" spans="5:26" ht="12.75" customHeight="1">
      <c r="E502" s="264"/>
      <c r="F502" s="264"/>
      <c r="O502" s="149"/>
      <c r="P502" s="149"/>
      <c r="V502" s="167"/>
      <c r="W502" s="167"/>
      <c r="X502" s="167"/>
      <c r="Y502" s="167"/>
      <c r="Z502" s="167"/>
    </row>
    <row r="503" spans="5:26" ht="12.75" customHeight="1">
      <c r="E503" s="264"/>
      <c r="F503" s="264"/>
      <c r="O503" s="149"/>
      <c r="P503" s="149"/>
      <c r="V503" s="167"/>
      <c r="W503" s="167"/>
      <c r="X503" s="167"/>
      <c r="Y503" s="167"/>
      <c r="Z503" s="167"/>
    </row>
    <row r="504" spans="5:26" ht="12.75" customHeight="1">
      <c r="E504" s="264"/>
      <c r="F504" s="264"/>
      <c r="O504" s="149"/>
      <c r="P504" s="149"/>
      <c r="V504" s="167"/>
      <c r="W504" s="167"/>
      <c r="X504" s="167"/>
      <c r="Y504" s="167"/>
      <c r="Z504" s="167"/>
    </row>
    <row r="505" spans="5:26" ht="12.75" customHeight="1">
      <c r="E505" s="264"/>
      <c r="F505" s="264"/>
      <c r="O505" s="149"/>
      <c r="P505" s="149"/>
      <c r="V505" s="167"/>
      <c r="W505" s="167"/>
      <c r="X505" s="167"/>
      <c r="Y505" s="167"/>
      <c r="Z505" s="167"/>
    </row>
    <row r="506" spans="5:26" ht="12.75" customHeight="1">
      <c r="E506" s="264"/>
      <c r="F506" s="264"/>
      <c r="O506" s="149"/>
      <c r="P506" s="149"/>
      <c r="V506" s="167"/>
      <c r="W506" s="167"/>
      <c r="X506" s="167"/>
      <c r="Y506" s="167"/>
      <c r="Z506" s="167"/>
    </row>
    <row r="507" spans="5:26" ht="12.75" customHeight="1">
      <c r="E507" s="264"/>
      <c r="F507" s="264"/>
      <c r="O507" s="149"/>
      <c r="P507" s="149"/>
      <c r="V507" s="167"/>
      <c r="W507" s="167"/>
      <c r="X507" s="167"/>
      <c r="Y507" s="167"/>
      <c r="Z507" s="167"/>
    </row>
    <row r="508" spans="5:26" ht="12.75" customHeight="1">
      <c r="E508" s="264"/>
      <c r="F508" s="264"/>
      <c r="O508" s="149"/>
      <c r="P508" s="149"/>
      <c r="V508" s="167"/>
      <c r="W508" s="167"/>
      <c r="X508" s="167"/>
      <c r="Y508" s="167"/>
      <c r="Z508" s="167"/>
    </row>
    <row r="509" spans="5:26" ht="12.75" customHeight="1">
      <c r="E509" s="264"/>
      <c r="F509" s="264"/>
      <c r="O509" s="149"/>
      <c r="P509" s="149"/>
      <c r="V509" s="167"/>
      <c r="W509" s="167"/>
      <c r="X509" s="167"/>
      <c r="Y509" s="167"/>
      <c r="Z509" s="167"/>
    </row>
    <row r="510" spans="5:26" ht="12.75" customHeight="1">
      <c r="E510" s="264"/>
      <c r="F510" s="264"/>
      <c r="O510" s="149"/>
      <c r="P510" s="149"/>
      <c r="V510" s="167"/>
      <c r="W510" s="167"/>
      <c r="X510" s="167"/>
      <c r="Y510" s="167"/>
      <c r="Z510" s="167"/>
    </row>
    <row r="511" spans="5:26" ht="12.75" customHeight="1">
      <c r="E511" s="264"/>
      <c r="F511" s="264"/>
      <c r="O511" s="149"/>
      <c r="P511" s="149"/>
      <c r="V511" s="167"/>
      <c r="W511" s="167"/>
      <c r="X511" s="167"/>
      <c r="Y511" s="167"/>
      <c r="Z511" s="167"/>
    </row>
    <row r="512" spans="5:26" ht="12.75" customHeight="1">
      <c r="E512" s="264"/>
      <c r="F512" s="264"/>
      <c r="O512" s="149"/>
      <c r="P512" s="149"/>
      <c r="V512" s="167"/>
      <c r="W512" s="167"/>
      <c r="X512" s="167"/>
      <c r="Y512" s="167"/>
      <c r="Z512" s="167"/>
    </row>
    <row r="513" spans="5:26" ht="12.75" customHeight="1">
      <c r="E513" s="264"/>
      <c r="F513" s="264"/>
      <c r="O513" s="149"/>
      <c r="P513" s="149"/>
      <c r="V513" s="167"/>
      <c r="W513" s="167"/>
      <c r="X513" s="167"/>
      <c r="Y513" s="167"/>
      <c r="Z513" s="167"/>
    </row>
    <row r="514" spans="5:26" ht="12.75" customHeight="1">
      <c r="E514" s="264"/>
      <c r="F514" s="264"/>
      <c r="O514" s="149"/>
      <c r="P514" s="149"/>
      <c r="V514" s="167"/>
      <c r="W514" s="167"/>
      <c r="X514" s="167"/>
      <c r="Y514" s="167"/>
      <c r="Z514" s="167"/>
    </row>
    <row r="515" spans="5:26" ht="12.75" customHeight="1">
      <c r="E515" s="264"/>
      <c r="F515" s="264"/>
      <c r="O515" s="149"/>
      <c r="P515" s="149"/>
      <c r="V515" s="167"/>
      <c r="W515" s="167"/>
      <c r="X515" s="167"/>
      <c r="Y515" s="167"/>
      <c r="Z515" s="167"/>
    </row>
    <row r="516" spans="5:26" ht="12.75" customHeight="1">
      <c r="E516" s="264"/>
      <c r="F516" s="264"/>
      <c r="O516" s="149"/>
      <c r="P516" s="149"/>
      <c r="V516" s="167"/>
      <c r="W516" s="167"/>
      <c r="X516" s="167"/>
      <c r="Y516" s="167"/>
      <c r="Z516" s="167"/>
    </row>
    <row r="517" spans="5:26" ht="12.75" customHeight="1">
      <c r="E517" s="264"/>
      <c r="F517" s="264"/>
      <c r="O517" s="149"/>
      <c r="P517" s="149"/>
      <c r="V517" s="167"/>
      <c r="W517" s="167"/>
      <c r="X517" s="167"/>
      <c r="Y517" s="167"/>
      <c r="Z517" s="167"/>
    </row>
    <row r="518" spans="5:26" ht="12.75" customHeight="1">
      <c r="E518" s="264"/>
      <c r="F518" s="264"/>
      <c r="O518" s="149"/>
      <c r="P518" s="149"/>
      <c r="V518" s="167"/>
      <c r="W518" s="167"/>
      <c r="X518" s="167"/>
      <c r="Y518" s="167"/>
      <c r="Z518" s="167"/>
    </row>
    <row r="519" spans="5:26" ht="12.75" customHeight="1">
      <c r="E519" s="264"/>
      <c r="F519" s="264"/>
      <c r="O519" s="149"/>
      <c r="P519" s="149"/>
      <c r="V519" s="167"/>
      <c r="W519" s="167"/>
      <c r="X519" s="167"/>
      <c r="Y519" s="167"/>
      <c r="Z519" s="167"/>
    </row>
    <row r="520" spans="5:26" ht="12.75" customHeight="1">
      <c r="E520" s="264"/>
      <c r="F520" s="264"/>
      <c r="O520" s="149"/>
      <c r="P520" s="149"/>
      <c r="V520" s="167"/>
      <c r="W520" s="167"/>
      <c r="X520" s="167"/>
      <c r="Y520" s="167"/>
      <c r="Z520" s="167"/>
    </row>
    <row r="521" spans="5:26" ht="12.75" customHeight="1">
      <c r="E521" s="264"/>
      <c r="F521" s="264"/>
      <c r="O521" s="149"/>
      <c r="P521" s="149"/>
      <c r="V521" s="167"/>
      <c r="W521" s="167"/>
      <c r="X521" s="167"/>
      <c r="Y521" s="167"/>
      <c r="Z521" s="167"/>
    </row>
    <row r="522" spans="5:26" ht="12.75" customHeight="1">
      <c r="E522" s="264"/>
      <c r="F522" s="264"/>
      <c r="O522" s="149"/>
      <c r="P522" s="149"/>
      <c r="V522" s="167"/>
      <c r="W522" s="167"/>
      <c r="X522" s="167"/>
      <c r="Y522" s="167"/>
      <c r="Z522" s="167"/>
    </row>
    <row r="523" spans="5:26" ht="12.75" customHeight="1">
      <c r="E523" s="264"/>
      <c r="F523" s="264"/>
      <c r="O523" s="149"/>
      <c r="P523" s="149"/>
      <c r="V523" s="167"/>
      <c r="W523" s="167"/>
      <c r="X523" s="167"/>
      <c r="Y523" s="167"/>
      <c r="Z523" s="167"/>
    </row>
    <row r="524" spans="5:26" ht="12.75" customHeight="1">
      <c r="E524" s="264"/>
      <c r="F524" s="264"/>
      <c r="O524" s="149"/>
      <c r="P524" s="149"/>
      <c r="V524" s="167"/>
      <c r="W524" s="167"/>
      <c r="X524" s="167"/>
      <c r="Y524" s="167"/>
      <c r="Z524" s="167"/>
    </row>
    <row r="525" spans="5:26" ht="12.75" customHeight="1">
      <c r="E525" s="264"/>
      <c r="F525" s="264"/>
      <c r="O525" s="149"/>
      <c r="P525" s="149"/>
      <c r="V525" s="167"/>
      <c r="W525" s="167"/>
      <c r="X525" s="167"/>
      <c r="Y525" s="167"/>
      <c r="Z525" s="167"/>
    </row>
    <row r="526" spans="5:26" ht="12.75" customHeight="1">
      <c r="E526" s="264"/>
      <c r="F526" s="264"/>
      <c r="O526" s="149"/>
      <c r="P526" s="149"/>
      <c r="V526" s="167"/>
      <c r="W526" s="167"/>
      <c r="X526" s="167"/>
      <c r="Y526" s="167"/>
      <c r="Z526" s="167"/>
    </row>
    <row r="527" spans="5:26" ht="12.75" customHeight="1">
      <c r="E527" s="264"/>
      <c r="F527" s="264"/>
      <c r="O527" s="149"/>
      <c r="P527" s="149"/>
      <c r="V527" s="167"/>
      <c r="W527" s="167"/>
      <c r="X527" s="167"/>
      <c r="Y527" s="167"/>
      <c r="Z527" s="167"/>
    </row>
    <row r="528" spans="5:26" ht="12.75" customHeight="1">
      <c r="E528" s="264"/>
      <c r="F528" s="264"/>
      <c r="O528" s="149"/>
      <c r="P528" s="149"/>
      <c r="V528" s="167"/>
      <c r="W528" s="167"/>
      <c r="X528" s="167"/>
      <c r="Y528" s="167"/>
      <c r="Z528" s="167"/>
    </row>
    <row r="529" spans="5:26" ht="12.75" customHeight="1">
      <c r="E529" s="264"/>
      <c r="F529" s="264"/>
      <c r="O529" s="149"/>
      <c r="P529" s="149"/>
      <c r="V529" s="167"/>
      <c r="W529" s="167"/>
      <c r="X529" s="167"/>
      <c r="Y529" s="167"/>
      <c r="Z529" s="167"/>
    </row>
    <row r="530" spans="5:26" ht="12.75" customHeight="1">
      <c r="E530" s="264"/>
      <c r="F530" s="264"/>
      <c r="O530" s="149"/>
      <c r="P530" s="149"/>
      <c r="V530" s="167"/>
      <c r="W530" s="167"/>
      <c r="X530" s="167"/>
      <c r="Y530" s="167"/>
      <c r="Z530" s="167"/>
    </row>
    <row r="531" spans="5:26" ht="12.75" customHeight="1">
      <c r="E531" s="264"/>
      <c r="F531" s="264"/>
      <c r="O531" s="149"/>
      <c r="P531" s="149"/>
      <c r="V531" s="167"/>
      <c r="W531" s="167"/>
      <c r="X531" s="167"/>
      <c r="Y531" s="167"/>
      <c r="Z531" s="167"/>
    </row>
    <row r="532" spans="5:26" ht="12.75" customHeight="1">
      <c r="E532" s="264"/>
      <c r="F532" s="264"/>
      <c r="O532" s="149"/>
      <c r="P532" s="149"/>
      <c r="V532" s="167"/>
      <c r="W532" s="167"/>
      <c r="X532" s="167"/>
      <c r="Y532" s="167"/>
      <c r="Z532" s="167"/>
    </row>
    <row r="533" spans="5:26" ht="12.75" customHeight="1">
      <c r="E533" s="264"/>
      <c r="F533" s="264"/>
      <c r="O533" s="149"/>
      <c r="P533" s="149"/>
      <c r="V533" s="167"/>
      <c r="W533" s="167"/>
      <c r="X533" s="167"/>
      <c r="Y533" s="167"/>
      <c r="Z533" s="167"/>
    </row>
    <row r="534" spans="5:26" ht="12.75" customHeight="1">
      <c r="E534" s="264"/>
      <c r="F534" s="264"/>
      <c r="O534" s="149"/>
      <c r="P534" s="149"/>
      <c r="V534" s="167"/>
      <c r="W534" s="167"/>
      <c r="X534" s="167"/>
      <c r="Y534" s="167"/>
      <c r="Z534" s="167"/>
    </row>
    <row r="535" spans="5:26" ht="12.75" customHeight="1">
      <c r="E535" s="264"/>
      <c r="F535" s="264"/>
      <c r="O535" s="149"/>
      <c r="P535" s="149"/>
      <c r="V535" s="167"/>
      <c r="W535" s="167"/>
      <c r="X535" s="167"/>
      <c r="Y535" s="167"/>
      <c r="Z535" s="167"/>
    </row>
    <row r="536" spans="5:26" ht="12.75" customHeight="1">
      <c r="E536" s="264"/>
      <c r="F536" s="264"/>
      <c r="O536" s="149"/>
      <c r="P536" s="149"/>
      <c r="V536" s="167"/>
      <c r="W536" s="167"/>
      <c r="X536" s="167"/>
      <c r="Y536" s="167"/>
      <c r="Z536" s="167"/>
    </row>
    <row r="537" spans="5:26" ht="12.75" customHeight="1">
      <c r="E537" s="264"/>
      <c r="F537" s="264"/>
      <c r="O537" s="149"/>
      <c r="P537" s="149"/>
      <c r="V537" s="167"/>
      <c r="W537" s="167"/>
      <c r="X537" s="167"/>
      <c r="Y537" s="167"/>
      <c r="Z537" s="167"/>
    </row>
    <row r="538" spans="5:26" ht="12.75" customHeight="1">
      <c r="E538" s="264"/>
      <c r="F538" s="264"/>
      <c r="O538" s="149"/>
      <c r="P538" s="149"/>
      <c r="V538" s="167"/>
      <c r="W538" s="167"/>
      <c r="X538" s="167"/>
      <c r="Y538" s="167"/>
      <c r="Z538" s="167"/>
    </row>
    <row r="539" spans="5:26" ht="12.75" customHeight="1">
      <c r="E539" s="264"/>
      <c r="F539" s="264"/>
      <c r="O539" s="149"/>
      <c r="P539" s="149"/>
      <c r="V539" s="167"/>
      <c r="W539" s="167"/>
      <c r="X539" s="167"/>
      <c r="Y539" s="167"/>
      <c r="Z539" s="167"/>
    </row>
    <row r="540" spans="5:26" ht="12.75" customHeight="1">
      <c r="E540" s="264"/>
      <c r="F540" s="264"/>
      <c r="O540" s="149"/>
      <c r="P540" s="149"/>
      <c r="V540" s="167"/>
      <c r="W540" s="167"/>
      <c r="X540" s="167"/>
      <c r="Y540" s="167"/>
      <c r="Z540" s="167"/>
    </row>
    <row r="541" spans="5:26" ht="12.75" customHeight="1">
      <c r="E541" s="264"/>
      <c r="F541" s="264"/>
      <c r="O541" s="149"/>
      <c r="P541" s="149"/>
      <c r="V541" s="167"/>
      <c r="W541" s="167"/>
      <c r="X541" s="167"/>
      <c r="Y541" s="167"/>
      <c r="Z541" s="167"/>
    </row>
    <row r="542" spans="5:26" ht="12.75" customHeight="1">
      <c r="E542" s="264"/>
      <c r="F542" s="264"/>
      <c r="O542" s="149"/>
      <c r="P542" s="149"/>
      <c r="V542" s="167"/>
      <c r="W542" s="167"/>
      <c r="X542" s="167"/>
      <c r="Y542" s="167"/>
      <c r="Z542" s="167"/>
    </row>
    <row r="543" spans="5:26" ht="12.75" customHeight="1">
      <c r="E543" s="264"/>
      <c r="F543" s="264"/>
      <c r="O543" s="149"/>
      <c r="P543" s="149"/>
      <c r="V543" s="167"/>
      <c r="W543" s="167"/>
      <c r="X543" s="167"/>
      <c r="Y543" s="167"/>
      <c r="Z543" s="167"/>
    </row>
    <row r="544" spans="5:26" ht="12.75" customHeight="1">
      <c r="E544" s="264"/>
      <c r="F544" s="264"/>
      <c r="O544" s="149"/>
      <c r="P544" s="149"/>
      <c r="V544" s="167"/>
      <c r="W544" s="167"/>
      <c r="X544" s="167"/>
      <c r="Y544" s="167"/>
      <c r="Z544" s="167"/>
    </row>
    <row r="545" spans="5:26" ht="12.75" customHeight="1">
      <c r="E545" s="264"/>
      <c r="F545" s="264"/>
      <c r="O545" s="149"/>
      <c r="P545" s="149"/>
      <c r="V545" s="167"/>
      <c r="W545" s="167"/>
      <c r="X545" s="167"/>
      <c r="Y545" s="167"/>
      <c r="Z545" s="167"/>
    </row>
    <row r="546" spans="5:26" ht="12.75" customHeight="1">
      <c r="E546" s="264"/>
      <c r="F546" s="264"/>
      <c r="O546" s="149"/>
      <c r="P546" s="149"/>
      <c r="V546" s="167"/>
      <c r="W546" s="167"/>
      <c r="X546" s="167"/>
      <c r="Y546" s="167"/>
      <c r="Z546" s="167"/>
    </row>
    <row r="547" spans="5:26" ht="12.75" customHeight="1">
      <c r="E547" s="264"/>
      <c r="F547" s="264"/>
      <c r="O547" s="149"/>
      <c r="P547" s="149"/>
      <c r="V547" s="167"/>
      <c r="W547" s="167"/>
      <c r="X547" s="167"/>
      <c r="Y547" s="167"/>
      <c r="Z547" s="167"/>
    </row>
    <row r="548" spans="5:26" ht="12.75" customHeight="1">
      <c r="E548" s="264"/>
      <c r="F548" s="264"/>
      <c r="O548" s="149"/>
      <c r="P548" s="149"/>
      <c r="V548" s="167"/>
      <c r="W548" s="167"/>
      <c r="X548" s="167"/>
      <c r="Y548" s="167"/>
      <c r="Z548" s="167"/>
    </row>
    <row r="549" spans="5:26" ht="12.75" customHeight="1">
      <c r="E549" s="264"/>
      <c r="F549" s="264"/>
      <c r="O549" s="149"/>
      <c r="P549" s="149"/>
      <c r="V549" s="167"/>
      <c r="W549" s="167"/>
      <c r="X549" s="167"/>
      <c r="Y549" s="167"/>
      <c r="Z549" s="167"/>
    </row>
    <row r="550" spans="5:26" ht="12.75" customHeight="1">
      <c r="E550" s="264"/>
      <c r="F550" s="264"/>
      <c r="O550" s="149"/>
      <c r="P550" s="149"/>
      <c r="V550" s="167"/>
      <c r="W550" s="167"/>
      <c r="X550" s="167"/>
      <c r="Y550" s="167"/>
      <c r="Z550" s="167"/>
    </row>
    <row r="551" spans="5:26" ht="12.75" customHeight="1">
      <c r="E551" s="264"/>
      <c r="F551" s="264"/>
      <c r="O551" s="149"/>
      <c r="P551" s="149"/>
      <c r="V551" s="167"/>
      <c r="W551" s="167"/>
      <c r="X551" s="167"/>
      <c r="Y551" s="167"/>
      <c r="Z551" s="167"/>
    </row>
    <row r="552" spans="5:26" ht="12.75" customHeight="1">
      <c r="E552" s="264"/>
      <c r="F552" s="264"/>
      <c r="O552" s="149"/>
      <c r="P552" s="149"/>
      <c r="V552" s="167"/>
      <c r="W552" s="167"/>
      <c r="X552" s="167"/>
      <c r="Y552" s="167"/>
      <c r="Z552" s="167"/>
    </row>
    <row r="553" spans="5:26" ht="12.75" customHeight="1">
      <c r="E553" s="264"/>
      <c r="F553" s="264"/>
      <c r="O553" s="149"/>
      <c r="P553" s="149"/>
      <c r="V553" s="167"/>
      <c r="W553" s="167"/>
      <c r="X553" s="167"/>
      <c r="Y553" s="167"/>
      <c r="Z553" s="167"/>
    </row>
    <row r="554" spans="5:26" ht="12.75" customHeight="1">
      <c r="E554" s="264"/>
      <c r="F554" s="264"/>
      <c r="O554" s="149"/>
      <c r="P554" s="149"/>
      <c r="V554" s="167"/>
      <c r="W554" s="167"/>
      <c r="X554" s="167"/>
      <c r="Y554" s="167"/>
      <c r="Z554" s="167"/>
    </row>
    <row r="555" spans="5:26" ht="12.75" customHeight="1">
      <c r="E555" s="264"/>
      <c r="F555" s="264"/>
      <c r="O555" s="149"/>
      <c r="P555" s="149"/>
      <c r="V555" s="167"/>
      <c r="W555" s="167"/>
      <c r="X555" s="167"/>
      <c r="Y555" s="167"/>
      <c r="Z555" s="167"/>
    </row>
    <row r="556" spans="5:26" ht="12.75" customHeight="1">
      <c r="E556" s="264"/>
      <c r="F556" s="264"/>
      <c r="O556" s="149"/>
      <c r="P556" s="149"/>
      <c r="V556" s="167"/>
      <c r="W556" s="167"/>
      <c r="X556" s="167"/>
      <c r="Y556" s="167"/>
      <c r="Z556" s="167"/>
    </row>
    <row r="557" spans="5:26" ht="12.75" customHeight="1">
      <c r="E557" s="264"/>
      <c r="F557" s="264"/>
      <c r="O557" s="149"/>
      <c r="P557" s="149"/>
      <c r="V557" s="167"/>
      <c r="W557" s="167"/>
      <c r="X557" s="167"/>
      <c r="Y557" s="167"/>
      <c r="Z557" s="167"/>
    </row>
    <row r="558" spans="5:26" ht="12.75" customHeight="1">
      <c r="E558" s="264"/>
      <c r="F558" s="264"/>
      <c r="O558" s="149"/>
      <c r="P558" s="149"/>
      <c r="V558" s="167"/>
      <c r="W558" s="167"/>
      <c r="X558" s="167"/>
      <c r="Y558" s="167"/>
      <c r="Z558" s="167"/>
    </row>
    <row r="559" spans="5:26" ht="12.75" customHeight="1">
      <c r="E559" s="264"/>
      <c r="F559" s="264"/>
      <c r="O559" s="149"/>
      <c r="P559" s="149"/>
      <c r="V559" s="167"/>
      <c r="W559" s="167"/>
      <c r="X559" s="167"/>
      <c r="Y559" s="167"/>
      <c r="Z559" s="167"/>
    </row>
    <row r="560" spans="5:26" ht="12.75" customHeight="1">
      <c r="E560" s="264"/>
      <c r="F560" s="264"/>
      <c r="O560" s="149"/>
      <c r="P560" s="149"/>
      <c r="V560" s="167"/>
      <c r="W560" s="167"/>
      <c r="X560" s="167"/>
      <c r="Y560" s="167"/>
      <c r="Z560" s="167"/>
    </row>
    <row r="561" spans="5:26" ht="12.75" customHeight="1">
      <c r="E561" s="264"/>
      <c r="F561" s="264"/>
      <c r="O561" s="149"/>
      <c r="P561" s="149"/>
      <c r="V561" s="167"/>
      <c r="W561" s="167"/>
      <c r="X561" s="167"/>
      <c r="Y561" s="167"/>
      <c r="Z561" s="167"/>
    </row>
    <row r="562" spans="5:26" ht="12.75" customHeight="1">
      <c r="E562" s="264"/>
      <c r="F562" s="264"/>
      <c r="O562" s="149"/>
      <c r="P562" s="149"/>
      <c r="V562" s="167"/>
      <c r="W562" s="167"/>
      <c r="X562" s="167"/>
      <c r="Y562" s="167"/>
      <c r="Z562" s="167"/>
    </row>
    <row r="563" spans="5:26" ht="12.75" customHeight="1">
      <c r="E563" s="264"/>
      <c r="F563" s="264"/>
      <c r="O563" s="149"/>
      <c r="P563" s="149"/>
      <c r="V563" s="167"/>
      <c r="W563" s="167"/>
      <c r="X563" s="167"/>
      <c r="Y563" s="167"/>
      <c r="Z563" s="167"/>
    </row>
    <row r="564" spans="5:26" ht="12.75" customHeight="1">
      <c r="E564" s="264"/>
      <c r="F564" s="264"/>
      <c r="O564" s="149"/>
      <c r="P564" s="149"/>
      <c r="V564" s="167"/>
      <c r="W564" s="167"/>
      <c r="X564" s="167"/>
      <c r="Y564" s="167"/>
      <c r="Z564" s="167"/>
    </row>
    <row r="565" spans="5:26" ht="12.75" customHeight="1">
      <c r="E565" s="264"/>
      <c r="F565" s="264"/>
      <c r="O565" s="149"/>
      <c r="P565" s="149"/>
      <c r="V565" s="167"/>
      <c r="W565" s="167"/>
      <c r="X565" s="167"/>
      <c r="Y565" s="167"/>
      <c r="Z565" s="167"/>
    </row>
    <row r="566" spans="5:26" ht="12.75" customHeight="1">
      <c r="E566" s="264"/>
      <c r="F566" s="264"/>
      <c r="O566" s="149"/>
      <c r="P566" s="149"/>
      <c r="V566" s="167"/>
      <c r="W566" s="167"/>
      <c r="X566" s="167"/>
      <c r="Y566" s="167"/>
      <c r="Z566" s="167"/>
    </row>
    <row r="567" spans="5:26" ht="12.75" customHeight="1">
      <c r="E567" s="264"/>
      <c r="F567" s="264"/>
      <c r="O567" s="149"/>
      <c r="P567" s="149"/>
      <c r="V567" s="167"/>
      <c r="W567" s="167"/>
      <c r="X567" s="167"/>
      <c r="Y567" s="167"/>
      <c r="Z567" s="167"/>
    </row>
    <row r="568" spans="5:26" ht="12.75" customHeight="1">
      <c r="E568" s="264"/>
      <c r="F568" s="264"/>
      <c r="O568" s="149"/>
      <c r="P568" s="149"/>
      <c r="V568" s="167"/>
      <c r="W568" s="167"/>
      <c r="X568" s="167"/>
      <c r="Y568" s="167"/>
      <c r="Z568" s="167"/>
    </row>
    <row r="569" spans="5:26" ht="12.75" customHeight="1">
      <c r="E569" s="264"/>
      <c r="F569" s="264"/>
      <c r="O569" s="149"/>
      <c r="P569" s="149"/>
      <c r="V569" s="167"/>
      <c r="W569" s="167"/>
      <c r="X569" s="167"/>
      <c r="Y569" s="167"/>
      <c r="Z569" s="167"/>
    </row>
    <row r="570" spans="5:26" ht="12.75" customHeight="1">
      <c r="E570" s="264"/>
      <c r="F570" s="264"/>
      <c r="O570" s="149"/>
      <c r="P570" s="149"/>
      <c r="V570" s="167"/>
      <c r="W570" s="167"/>
      <c r="X570" s="167"/>
      <c r="Y570" s="167"/>
      <c r="Z570" s="167"/>
    </row>
    <row r="571" spans="5:26" ht="12.75" customHeight="1">
      <c r="E571" s="264"/>
      <c r="F571" s="264"/>
      <c r="O571" s="149"/>
      <c r="P571" s="149"/>
      <c r="V571" s="167"/>
      <c r="W571" s="167"/>
      <c r="X571" s="167"/>
      <c r="Y571" s="167"/>
      <c r="Z571" s="167"/>
    </row>
    <row r="572" spans="5:26" ht="12.75" customHeight="1">
      <c r="E572" s="264"/>
      <c r="F572" s="264"/>
      <c r="O572" s="149"/>
      <c r="P572" s="149"/>
      <c r="V572" s="167"/>
      <c r="W572" s="167"/>
      <c r="X572" s="167"/>
      <c r="Y572" s="167"/>
      <c r="Z572" s="167"/>
    </row>
    <row r="573" spans="5:26" ht="12.75" customHeight="1">
      <c r="E573" s="264"/>
      <c r="F573" s="264"/>
      <c r="O573" s="149"/>
      <c r="P573" s="149"/>
      <c r="V573" s="167"/>
      <c r="W573" s="167"/>
      <c r="X573" s="167"/>
      <c r="Y573" s="167"/>
      <c r="Z573" s="167"/>
    </row>
    <row r="574" spans="5:26" ht="12.75" customHeight="1">
      <c r="E574" s="264"/>
      <c r="F574" s="264"/>
      <c r="O574" s="149"/>
      <c r="P574" s="149"/>
      <c r="V574" s="167"/>
      <c r="W574" s="167"/>
      <c r="X574" s="167"/>
      <c r="Y574" s="167"/>
      <c r="Z574" s="167"/>
    </row>
    <row r="575" spans="5:26" ht="12.75" customHeight="1">
      <c r="E575" s="264"/>
      <c r="F575" s="264"/>
      <c r="O575" s="149"/>
      <c r="P575" s="149"/>
      <c r="V575" s="167"/>
      <c r="W575" s="167"/>
      <c r="X575" s="167"/>
      <c r="Y575" s="167"/>
      <c r="Z575" s="167"/>
    </row>
    <row r="576" spans="5:26" ht="12.75" customHeight="1">
      <c r="E576" s="264"/>
      <c r="F576" s="264"/>
      <c r="O576" s="149"/>
      <c r="P576" s="149"/>
      <c r="V576" s="167"/>
      <c r="W576" s="167"/>
      <c r="X576" s="167"/>
      <c r="Y576" s="167"/>
      <c r="Z576" s="167"/>
    </row>
    <row r="577" spans="5:26" ht="12.75" customHeight="1">
      <c r="E577" s="264"/>
      <c r="F577" s="264"/>
      <c r="O577" s="149"/>
      <c r="P577" s="149"/>
      <c r="V577" s="167"/>
      <c r="W577" s="167"/>
      <c r="X577" s="167"/>
      <c r="Y577" s="167"/>
      <c r="Z577" s="167"/>
    </row>
    <row r="578" spans="5:26" ht="12.75" customHeight="1">
      <c r="E578" s="264"/>
      <c r="F578" s="264"/>
      <c r="O578" s="149"/>
      <c r="P578" s="149"/>
      <c r="V578" s="167"/>
      <c r="W578" s="167"/>
      <c r="X578" s="167"/>
      <c r="Y578" s="167"/>
      <c r="Z578" s="167"/>
    </row>
    <row r="579" spans="5:26" ht="12.75" customHeight="1">
      <c r="E579" s="264"/>
      <c r="F579" s="264"/>
      <c r="O579" s="149"/>
      <c r="P579" s="149"/>
      <c r="V579" s="167"/>
      <c r="W579" s="167"/>
      <c r="X579" s="167"/>
      <c r="Y579" s="167"/>
      <c r="Z579" s="167"/>
    </row>
    <row r="580" spans="5:26" ht="12.75" customHeight="1">
      <c r="E580" s="264"/>
      <c r="F580" s="264"/>
      <c r="O580" s="149"/>
      <c r="P580" s="149"/>
      <c r="V580" s="167"/>
      <c r="W580" s="167"/>
      <c r="X580" s="167"/>
      <c r="Y580" s="167"/>
      <c r="Z580" s="167"/>
    </row>
    <row r="581" spans="5:26" ht="12.75" customHeight="1">
      <c r="E581" s="264"/>
      <c r="F581" s="264"/>
      <c r="O581" s="149"/>
      <c r="P581" s="149"/>
      <c r="V581" s="167"/>
      <c r="W581" s="167"/>
      <c r="X581" s="167"/>
      <c r="Y581" s="167"/>
      <c r="Z581" s="167"/>
    </row>
    <row r="582" spans="5:26" ht="12.75" customHeight="1">
      <c r="E582" s="264"/>
      <c r="F582" s="264"/>
      <c r="O582" s="149"/>
      <c r="P582" s="149"/>
      <c r="V582" s="167"/>
      <c r="W582" s="167"/>
      <c r="X582" s="167"/>
      <c r="Y582" s="167"/>
      <c r="Z582" s="167"/>
    </row>
    <row r="583" spans="5:26" ht="12.75" customHeight="1">
      <c r="E583" s="264"/>
      <c r="F583" s="264"/>
      <c r="O583" s="149"/>
      <c r="P583" s="149"/>
      <c r="V583" s="167"/>
      <c r="W583" s="167"/>
      <c r="X583" s="167"/>
      <c r="Y583" s="167"/>
      <c r="Z583" s="167"/>
    </row>
    <row r="584" spans="5:26" ht="12.75" customHeight="1">
      <c r="E584" s="264"/>
      <c r="F584" s="264"/>
      <c r="O584" s="149"/>
      <c r="P584" s="149"/>
      <c r="V584" s="167"/>
      <c r="W584" s="167"/>
      <c r="X584" s="167"/>
      <c r="Y584" s="167"/>
      <c r="Z584" s="167"/>
    </row>
    <row r="585" spans="5:26" ht="12.75" customHeight="1">
      <c r="E585" s="264"/>
      <c r="F585" s="264"/>
      <c r="O585" s="149"/>
      <c r="P585" s="149"/>
      <c r="V585" s="167"/>
      <c r="W585" s="167"/>
      <c r="X585" s="167"/>
      <c r="Y585" s="167"/>
      <c r="Z585" s="167"/>
    </row>
    <row r="586" spans="5:26" ht="12.75" customHeight="1">
      <c r="E586" s="264"/>
      <c r="F586" s="264"/>
      <c r="O586" s="149"/>
      <c r="P586" s="149"/>
      <c r="V586" s="167"/>
      <c r="W586" s="167"/>
      <c r="X586" s="167"/>
      <c r="Y586" s="167"/>
      <c r="Z586" s="167"/>
    </row>
    <row r="587" spans="5:26" ht="12.75" customHeight="1">
      <c r="E587" s="264"/>
      <c r="F587" s="264"/>
      <c r="O587" s="149"/>
      <c r="P587" s="149"/>
      <c r="V587" s="167"/>
      <c r="W587" s="167"/>
      <c r="X587" s="167"/>
      <c r="Y587" s="167"/>
      <c r="Z587" s="167"/>
    </row>
    <row r="588" spans="5:26" ht="12.75" customHeight="1">
      <c r="E588" s="264"/>
      <c r="F588" s="264"/>
      <c r="O588" s="149"/>
      <c r="P588" s="149"/>
      <c r="V588" s="167"/>
      <c r="W588" s="167"/>
      <c r="X588" s="167"/>
      <c r="Y588" s="167"/>
      <c r="Z588" s="167"/>
    </row>
    <row r="589" spans="5:26" ht="12.75" customHeight="1">
      <c r="E589" s="264"/>
      <c r="F589" s="264"/>
      <c r="O589" s="149"/>
      <c r="P589" s="149"/>
      <c r="V589" s="167"/>
      <c r="W589" s="167"/>
      <c r="X589" s="167"/>
      <c r="Y589" s="167"/>
      <c r="Z589" s="167"/>
    </row>
    <row r="590" spans="5:26" ht="12.75" customHeight="1">
      <c r="E590" s="264"/>
      <c r="F590" s="264"/>
      <c r="O590" s="149"/>
      <c r="P590" s="149"/>
      <c r="V590" s="167"/>
      <c r="W590" s="167"/>
      <c r="X590" s="167"/>
      <c r="Y590" s="167"/>
      <c r="Z590" s="167"/>
    </row>
    <row r="591" spans="5:26" ht="12.75" customHeight="1">
      <c r="E591" s="264"/>
      <c r="F591" s="264"/>
      <c r="O591" s="149"/>
      <c r="P591" s="149"/>
      <c r="V591" s="167"/>
      <c r="W591" s="167"/>
      <c r="X591" s="167"/>
      <c r="Y591" s="167"/>
      <c r="Z591" s="167"/>
    </row>
    <row r="592" spans="5:26" ht="12.75" customHeight="1">
      <c r="E592" s="264"/>
      <c r="F592" s="264"/>
      <c r="O592" s="149"/>
      <c r="P592" s="149"/>
      <c r="V592" s="167"/>
      <c r="W592" s="167"/>
      <c r="X592" s="167"/>
      <c r="Y592" s="167"/>
      <c r="Z592" s="167"/>
    </row>
    <row r="593" spans="5:26" ht="12.75" customHeight="1">
      <c r="E593" s="264"/>
      <c r="F593" s="264"/>
      <c r="O593" s="149"/>
      <c r="P593" s="149"/>
      <c r="V593" s="167"/>
      <c r="W593" s="167"/>
      <c r="X593" s="167"/>
      <c r="Y593" s="167"/>
      <c r="Z593" s="167"/>
    </row>
    <row r="594" spans="5:26" ht="12.75" customHeight="1">
      <c r="E594" s="264"/>
      <c r="F594" s="264"/>
      <c r="O594" s="149"/>
      <c r="P594" s="149"/>
      <c r="V594" s="167"/>
      <c r="W594" s="167"/>
      <c r="X594" s="167"/>
      <c r="Y594" s="167"/>
      <c r="Z594" s="167"/>
    </row>
    <row r="595" spans="5:26" ht="12.75" customHeight="1">
      <c r="E595" s="264"/>
      <c r="F595" s="264"/>
      <c r="O595" s="149"/>
      <c r="P595" s="149"/>
      <c r="V595" s="167"/>
      <c r="W595" s="167"/>
      <c r="X595" s="167"/>
      <c r="Y595" s="167"/>
      <c r="Z595" s="167"/>
    </row>
    <row r="596" spans="5:26" ht="12.75" customHeight="1">
      <c r="E596" s="264"/>
      <c r="F596" s="264"/>
      <c r="O596" s="149"/>
      <c r="P596" s="149"/>
      <c r="V596" s="167"/>
      <c r="W596" s="167"/>
      <c r="X596" s="167"/>
      <c r="Y596" s="167"/>
      <c r="Z596" s="167"/>
    </row>
    <row r="597" spans="5:26" ht="12.75" customHeight="1">
      <c r="E597" s="264"/>
      <c r="F597" s="264"/>
      <c r="O597" s="149"/>
      <c r="P597" s="149"/>
      <c r="V597" s="167"/>
      <c r="W597" s="167"/>
      <c r="X597" s="167"/>
      <c r="Y597" s="167"/>
      <c r="Z597" s="167"/>
    </row>
    <row r="598" spans="5:26" ht="12.75" customHeight="1">
      <c r="E598" s="264"/>
      <c r="F598" s="264"/>
      <c r="O598" s="149"/>
      <c r="P598" s="149"/>
      <c r="V598" s="167"/>
      <c r="W598" s="167"/>
      <c r="X598" s="167"/>
      <c r="Y598" s="167"/>
      <c r="Z598" s="167"/>
    </row>
    <row r="599" spans="5:26" ht="12.75" customHeight="1">
      <c r="E599" s="264"/>
      <c r="F599" s="264"/>
      <c r="O599" s="149"/>
      <c r="P599" s="149"/>
      <c r="V599" s="167"/>
      <c r="W599" s="167"/>
      <c r="X599" s="167"/>
      <c r="Y599" s="167"/>
      <c r="Z599" s="167"/>
    </row>
    <row r="600" spans="5:26" ht="12.75" customHeight="1">
      <c r="E600" s="264"/>
      <c r="F600" s="264"/>
      <c r="O600" s="149"/>
      <c r="P600" s="149"/>
      <c r="V600" s="167"/>
      <c r="W600" s="167"/>
      <c r="X600" s="167"/>
      <c r="Y600" s="167"/>
      <c r="Z600" s="167"/>
    </row>
    <row r="601" spans="5:26" ht="12.75" customHeight="1">
      <c r="E601" s="264"/>
      <c r="F601" s="264"/>
      <c r="O601" s="149"/>
      <c r="P601" s="149"/>
      <c r="V601" s="167"/>
      <c r="W601" s="167"/>
      <c r="X601" s="167"/>
      <c r="Y601" s="167"/>
      <c r="Z601" s="167"/>
    </row>
    <row r="602" spans="5:26" ht="12.75" customHeight="1">
      <c r="E602" s="264"/>
      <c r="F602" s="264"/>
      <c r="O602" s="149"/>
      <c r="P602" s="149"/>
      <c r="V602" s="167"/>
      <c r="W602" s="167"/>
      <c r="X602" s="167"/>
      <c r="Y602" s="167"/>
      <c r="Z602" s="167"/>
    </row>
    <row r="603" spans="5:26" ht="12.75" customHeight="1">
      <c r="E603" s="264"/>
      <c r="F603" s="264"/>
      <c r="O603" s="149"/>
      <c r="P603" s="149"/>
      <c r="V603" s="167"/>
      <c r="W603" s="167"/>
      <c r="X603" s="167"/>
      <c r="Y603" s="167"/>
      <c r="Z603" s="167"/>
    </row>
    <row r="604" spans="5:26" ht="12.75" customHeight="1">
      <c r="E604" s="264"/>
      <c r="F604" s="264"/>
      <c r="O604" s="149"/>
      <c r="P604" s="149"/>
      <c r="V604" s="167"/>
      <c r="W604" s="167"/>
      <c r="X604" s="167"/>
      <c r="Y604" s="167"/>
      <c r="Z604" s="167"/>
    </row>
    <row r="605" spans="5:26" ht="12.75" customHeight="1">
      <c r="E605" s="264"/>
      <c r="F605" s="264"/>
      <c r="O605" s="149"/>
      <c r="P605" s="149"/>
      <c r="V605" s="167"/>
      <c r="W605" s="167"/>
      <c r="X605" s="167"/>
      <c r="Y605" s="167"/>
      <c r="Z605" s="167"/>
    </row>
    <row r="606" spans="5:26" ht="12.75" customHeight="1">
      <c r="E606" s="264"/>
      <c r="F606" s="264"/>
      <c r="O606" s="149"/>
      <c r="P606" s="149"/>
      <c r="V606" s="167"/>
      <c r="W606" s="167"/>
      <c r="X606" s="167"/>
      <c r="Y606" s="167"/>
      <c r="Z606" s="167"/>
    </row>
    <row r="607" spans="5:26" ht="12.75" customHeight="1">
      <c r="E607" s="264"/>
      <c r="F607" s="264"/>
      <c r="O607" s="149"/>
      <c r="P607" s="149"/>
      <c r="V607" s="167"/>
      <c r="W607" s="167"/>
      <c r="X607" s="167"/>
      <c r="Y607" s="167"/>
      <c r="Z607" s="167"/>
    </row>
    <row r="608" spans="5:26" ht="12.75" customHeight="1">
      <c r="E608" s="264"/>
      <c r="F608" s="264"/>
      <c r="O608" s="149"/>
      <c r="P608" s="149"/>
      <c r="V608" s="167"/>
      <c r="W608" s="167"/>
      <c r="X608" s="167"/>
      <c r="Y608" s="167"/>
      <c r="Z608" s="167"/>
    </row>
    <row r="609" spans="5:26" ht="12.75" customHeight="1">
      <c r="E609" s="264"/>
      <c r="F609" s="264"/>
      <c r="O609" s="149"/>
      <c r="P609" s="149"/>
      <c r="V609" s="167"/>
      <c r="W609" s="167"/>
      <c r="X609" s="167"/>
      <c r="Y609" s="167"/>
      <c r="Z609" s="167"/>
    </row>
    <row r="610" spans="5:26" ht="12.75" customHeight="1">
      <c r="E610" s="264"/>
      <c r="F610" s="264"/>
      <c r="O610" s="149"/>
      <c r="P610" s="149"/>
      <c r="V610" s="167"/>
      <c r="W610" s="167"/>
      <c r="X610" s="167"/>
      <c r="Y610" s="167"/>
      <c r="Z610" s="167"/>
    </row>
    <row r="611" spans="5:26" ht="12.75" customHeight="1">
      <c r="E611" s="264"/>
      <c r="F611" s="264"/>
      <c r="O611" s="149"/>
      <c r="P611" s="149"/>
      <c r="V611" s="167"/>
      <c r="W611" s="167"/>
      <c r="X611" s="167"/>
      <c r="Y611" s="167"/>
      <c r="Z611" s="167"/>
    </row>
    <row r="612" spans="5:26" ht="12.75" customHeight="1">
      <c r="E612" s="264"/>
      <c r="F612" s="264"/>
      <c r="O612" s="149"/>
      <c r="P612" s="149"/>
      <c r="V612" s="167"/>
      <c r="W612" s="167"/>
      <c r="X612" s="167"/>
      <c r="Y612" s="167"/>
      <c r="Z612" s="167"/>
    </row>
    <row r="613" spans="5:26" ht="12.75" customHeight="1">
      <c r="E613" s="264"/>
      <c r="F613" s="264"/>
      <c r="O613" s="149"/>
      <c r="P613" s="149"/>
      <c r="V613" s="167"/>
      <c r="W613" s="167"/>
      <c r="X613" s="167"/>
      <c r="Y613" s="167"/>
      <c r="Z613" s="167"/>
    </row>
    <row r="614" spans="5:26" ht="12.75" customHeight="1">
      <c r="E614" s="264"/>
      <c r="F614" s="264"/>
      <c r="O614" s="149"/>
      <c r="P614" s="149"/>
      <c r="V614" s="167"/>
      <c r="W614" s="167"/>
      <c r="X614" s="167"/>
      <c r="Y614" s="167"/>
      <c r="Z614" s="167"/>
    </row>
    <row r="615" spans="5:26" ht="12.75" customHeight="1">
      <c r="E615" s="264"/>
      <c r="F615" s="264"/>
      <c r="O615" s="149"/>
      <c r="P615" s="149"/>
      <c r="V615" s="167"/>
      <c r="W615" s="167"/>
      <c r="X615" s="167"/>
      <c r="Y615" s="167"/>
      <c r="Z615" s="167"/>
    </row>
    <row r="616" spans="5:26" ht="12.75" customHeight="1">
      <c r="E616" s="264"/>
      <c r="F616" s="264"/>
      <c r="O616" s="149"/>
      <c r="P616" s="149"/>
      <c r="V616" s="167"/>
      <c r="W616" s="167"/>
      <c r="X616" s="167"/>
      <c r="Y616" s="167"/>
      <c r="Z616" s="167"/>
    </row>
    <row r="617" spans="5:26" ht="12.75" customHeight="1">
      <c r="E617" s="264"/>
      <c r="F617" s="264"/>
      <c r="O617" s="149"/>
      <c r="P617" s="149"/>
      <c r="V617" s="167"/>
      <c r="W617" s="167"/>
      <c r="X617" s="167"/>
      <c r="Y617" s="167"/>
      <c r="Z617" s="167"/>
    </row>
    <row r="618" spans="5:26" ht="12.75" customHeight="1">
      <c r="E618" s="264"/>
      <c r="F618" s="264"/>
      <c r="O618" s="149"/>
      <c r="P618" s="149"/>
      <c r="V618" s="167"/>
      <c r="W618" s="167"/>
      <c r="X618" s="167"/>
      <c r="Y618" s="167"/>
      <c r="Z618" s="167"/>
    </row>
    <row r="619" spans="5:26" ht="12.75" customHeight="1">
      <c r="E619" s="264"/>
      <c r="F619" s="264"/>
      <c r="O619" s="149"/>
      <c r="P619" s="149"/>
      <c r="V619" s="167"/>
      <c r="W619" s="167"/>
      <c r="X619" s="167"/>
      <c r="Y619" s="167"/>
      <c r="Z619" s="167"/>
    </row>
    <row r="620" spans="5:26" ht="12.75" customHeight="1">
      <c r="E620" s="264"/>
      <c r="F620" s="264"/>
      <c r="O620" s="149"/>
      <c r="P620" s="149"/>
      <c r="V620" s="167"/>
      <c r="W620" s="167"/>
      <c r="X620" s="167"/>
      <c r="Y620" s="167"/>
      <c r="Z620" s="167"/>
    </row>
    <row r="621" spans="5:26" ht="12.75" customHeight="1">
      <c r="E621" s="264"/>
      <c r="F621" s="264"/>
      <c r="O621" s="149"/>
      <c r="P621" s="149"/>
      <c r="V621" s="167"/>
      <c r="W621" s="167"/>
      <c r="X621" s="167"/>
      <c r="Y621" s="167"/>
      <c r="Z621" s="167"/>
    </row>
    <row r="622" spans="5:26" ht="12.75" customHeight="1">
      <c r="E622" s="264"/>
      <c r="F622" s="264"/>
      <c r="O622" s="149"/>
      <c r="P622" s="149"/>
      <c r="V622" s="167"/>
      <c r="W622" s="167"/>
      <c r="X622" s="167"/>
      <c r="Y622" s="167"/>
      <c r="Z622" s="167"/>
    </row>
    <row r="623" spans="5:26" ht="12.75" customHeight="1">
      <c r="E623" s="264"/>
      <c r="F623" s="264"/>
      <c r="O623" s="149"/>
      <c r="P623" s="149"/>
      <c r="V623" s="167"/>
      <c r="W623" s="167"/>
      <c r="X623" s="167"/>
      <c r="Y623" s="167"/>
      <c r="Z623" s="167"/>
    </row>
    <row r="624" spans="5:26" ht="12.75" customHeight="1">
      <c r="E624" s="264"/>
      <c r="F624" s="264"/>
      <c r="O624" s="149"/>
      <c r="P624" s="149"/>
      <c r="V624" s="167"/>
      <c r="W624" s="167"/>
      <c r="X624" s="167"/>
      <c r="Y624" s="167"/>
      <c r="Z624" s="167"/>
    </row>
    <row r="625" spans="5:26" ht="12.75" customHeight="1">
      <c r="E625" s="264"/>
      <c r="F625" s="264"/>
      <c r="O625" s="149"/>
      <c r="P625" s="149"/>
      <c r="V625" s="167"/>
      <c r="W625" s="167"/>
      <c r="X625" s="167"/>
      <c r="Y625" s="167"/>
      <c r="Z625" s="167"/>
    </row>
    <row r="626" spans="5:26" ht="12.75" customHeight="1">
      <c r="E626" s="264"/>
      <c r="F626" s="264"/>
      <c r="O626" s="149"/>
      <c r="P626" s="149"/>
      <c r="V626" s="167"/>
      <c r="W626" s="167"/>
      <c r="X626" s="167"/>
      <c r="Y626" s="167"/>
      <c r="Z626" s="167"/>
    </row>
    <row r="627" spans="5:26" ht="12.75" customHeight="1">
      <c r="E627" s="264"/>
      <c r="F627" s="264"/>
      <c r="O627" s="149"/>
      <c r="P627" s="149"/>
      <c r="V627" s="167"/>
      <c r="W627" s="167"/>
      <c r="X627" s="167"/>
      <c r="Y627" s="167"/>
      <c r="Z627" s="167"/>
    </row>
    <row r="628" spans="5:26" ht="12.75" customHeight="1">
      <c r="E628" s="264"/>
      <c r="F628" s="264"/>
      <c r="O628" s="149"/>
      <c r="P628" s="149"/>
      <c r="V628" s="167"/>
      <c r="W628" s="167"/>
      <c r="X628" s="167"/>
      <c r="Y628" s="167"/>
      <c r="Z628" s="167"/>
    </row>
    <row r="629" spans="5:26" ht="12.75" customHeight="1">
      <c r="E629" s="264"/>
      <c r="F629" s="264"/>
      <c r="O629" s="149"/>
      <c r="P629" s="149"/>
      <c r="V629" s="167"/>
      <c r="W629" s="167"/>
      <c r="X629" s="167"/>
      <c r="Y629" s="167"/>
      <c r="Z629" s="167"/>
    </row>
    <row r="630" spans="5:26" ht="12.75" customHeight="1">
      <c r="E630" s="264"/>
      <c r="F630" s="264"/>
      <c r="O630" s="149"/>
      <c r="P630" s="149"/>
      <c r="V630" s="167"/>
      <c r="W630" s="167"/>
      <c r="X630" s="167"/>
      <c r="Y630" s="167"/>
      <c r="Z630" s="167"/>
    </row>
    <row r="631" spans="5:26" ht="12.75" customHeight="1">
      <c r="E631" s="264"/>
      <c r="F631" s="264"/>
      <c r="O631" s="149"/>
      <c r="P631" s="149"/>
      <c r="V631" s="167"/>
      <c r="W631" s="167"/>
      <c r="X631" s="167"/>
      <c r="Y631" s="167"/>
      <c r="Z631" s="167"/>
    </row>
    <row r="632" spans="5:26" ht="12.75" customHeight="1">
      <c r="E632" s="264"/>
      <c r="F632" s="264"/>
      <c r="O632" s="149"/>
      <c r="P632" s="149"/>
      <c r="V632" s="167"/>
      <c r="W632" s="167"/>
      <c r="X632" s="167"/>
      <c r="Y632" s="167"/>
      <c r="Z632" s="167"/>
    </row>
    <row r="633" spans="5:26" ht="12.75" customHeight="1">
      <c r="E633" s="264"/>
      <c r="F633" s="264"/>
      <c r="O633" s="149"/>
      <c r="P633" s="149"/>
      <c r="V633" s="167"/>
      <c r="W633" s="167"/>
      <c r="X633" s="167"/>
      <c r="Y633" s="167"/>
      <c r="Z633" s="167"/>
    </row>
    <row r="634" spans="5:26" ht="12.75" customHeight="1">
      <c r="E634" s="264"/>
      <c r="F634" s="264"/>
      <c r="O634" s="149"/>
      <c r="P634" s="149"/>
      <c r="V634" s="167"/>
      <c r="W634" s="167"/>
      <c r="X634" s="167"/>
      <c r="Y634" s="167"/>
      <c r="Z634" s="167"/>
    </row>
    <row r="635" spans="5:26" ht="12.75" customHeight="1">
      <c r="E635" s="264"/>
      <c r="F635" s="264"/>
      <c r="O635" s="149"/>
      <c r="P635" s="149"/>
      <c r="V635" s="167"/>
      <c r="W635" s="167"/>
      <c r="X635" s="167"/>
      <c r="Y635" s="167"/>
      <c r="Z635" s="167"/>
    </row>
    <row r="636" spans="5:26" ht="12.75" customHeight="1">
      <c r="E636" s="264"/>
      <c r="F636" s="264"/>
      <c r="O636" s="149"/>
      <c r="P636" s="149"/>
      <c r="V636" s="167"/>
      <c r="W636" s="167"/>
      <c r="X636" s="167"/>
      <c r="Y636" s="167"/>
      <c r="Z636" s="167"/>
    </row>
    <row r="637" spans="5:26" ht="12.75" customHeight="1">
      <c r="E637" s="264"/>
      <c r="F637" s="264"/>
      <c r="O637" s="149"/>
      <c r="P637" s="149"/>
      <c r="V637" s="167"/>
      <c r="W637" s="167"/>
      <c r="X637" s="167"/>
      <c r="Y637" s="167"/>
      <c r="Z637" s="167"/>
    </row>
    <row r="638" spans="5:26" ht="12.75" customHeight="1">
      <c r="E638" s="264"/>
      <c r="F638" s="264"/>
      <c r="O638" s="149"/>
      <c r="P638" s="149"/>
      <c r="V638" s="167"/>
      <c r="W638" s="167"/>
      <c r="X638" s="167"/>
      <c r="Y638" s="167"/>
      <c r="Z638" s="167"/>
    </row>
    <row r="639" spans="5:26" ht="12.75" customHeight="1">
      <c r="E639" s="264"/>
      <c r="F639" s="264"/>
      <c r="O639" s="149"/>
      <c r="P639" s="149"/>
      <c r="V639" s="167"/>
      <c r="W639" s="167"/>
      <c r="X639" s="167"/>
      <c r="Y639" s="167"/>
      <c r="Z639" s="167"/>
    </row>
    <row r="640" spans="5:26" ht="12.75" customHeight="1">
      <c r="E640" s="264"/>
      <c r="F640" s="264"/>
      <c r="O640" s="149"/>
      <c r="P640" s="149"/>
      <c r="V640" s="167"/>
      <c r="W640" s="167"/>
      <c r="X640" s="167"/>
      <c r="Y640" s="167"/>
      <c r="Z640" s="167"/>
    </row>
    <row r="641" spans="5:26" ht="12.75" customHeight="1">
      <c r="E641" s="264"/>
      <c r="F641" s="264"/>
      <c r="O641" s="149"/>
      <c r="P641" s="149"/>
      <c r="V641" s="167"/>
      <c r="W641" s="167"/>
      <c r="X641" s="167"/>
      <c r="Y641" s="167"/>
      <c r="Z641" s="167"/>
    </row>
    <row r="642" spans="5:26" ht="12.75" customHeight="1">
      <c r="E642" s="264"/>
      <c r="F642" s="264"/>
      <c r="O642" s="149"/>
      <c r="P642" s="149"/>
      <c r="V642" s="167"/>
      <c r="W642" s="167"/>
      <c r="X642" s="167"/>
      <c r="Y642" s="167"/>
      <c r="Z642" s="167"/>
    </row>
    <row r="643" spans="5:26" ht="12.75" customHeight="1">
      <c r="E643" s="264"/>
      <c r="F643" s="264"/>
      <c r="O643" s="149"/>
      <c r="P643" s="149"/>
      <c r="V643" s="167"/>
      <c r="W643" s="167"/>
      <c r="X643" s="167"/>
      <c r="Y643" s="167"/>
      <c r="Z643" s="167"/>
    </row>
    <row r="644" spans="5:26" ht="12.75" customHeight="1">
      <c r="E644" s="264"/>
      <c r="F644" s="264"/>
      <c r="O644" s="149"/>
      <c r="P644" s="149"/>
      <c r="V644" s="167"/>
      <c r="W644" s="167"/>
      <c r="X644" s="167"/>
      <c r="Y644" s="167"/>
      <c r="Z644" s="167"/>
    </row>
    <row r="645" spans="5:26" ht="12.75" customHeight="1">
      <c r="E645" s="264"/>
      <c r="F645" s="264"/>
      <c r="O645" s="149"/>
      <c r="P645" s="149"/>
      <c r="V645" s="167"/>
      <c r="W645" s="167"/>
      <c r="X645" s="167"/>
      <c r="Y645" s="167"/>
      <c r="Z645" s="167"/>
    </row>
    <row r="646" spans="5:26" ht="12.75" customHeight="1">
      <c r="E646" s="264"/>
      <c r="F646" s="264"/>
      <c r="O646" s="149"/>
      <c r="P646" s="149"/>
      <c r="V646" s="167"/>
      <c r="W646" s="167"/>
      <c r="X646" s="167"/>
      <c r="Y646" s="167"/>
      <c r="Z646" s="167"/>
    </row>
    <row r="647" spans="5:26" ht="12.75" customHeight="1">
      <c r="E647" s="264"/>
      <c r="F647" s="264"/>
      <c r="O647" s="149"/>
      <c r="P647" s="149"/>
      <c r="V647" s="167"/>
      <c r="W647" s="167"/>
      <c r="X647" s="167"/>
      <c r="Y647" s="167"/>
      <c r="Z647" s="167"/>
    </row>
    <row r="648" spans="5:26" ht="12.75" customHeight="1">
      <c r="E648" s="264"/>
      <c r="F648" s="264"/>
      <c r="O648" s="149"/>
      <c r="P648" s="149"/>
      <c r="V648" s="167"/>
      <c r="W648" s="167"/>
      <c r="X648" s="167"/>
      <c r="Y648" s="167"/>
      <c r="Z648" s="167"/>
    </row>
    <row r="649" spans="5:26" ht="12.75" customHeight="1">
      <c r="E649" s="264"/>
      <c r="F649" s="264"/>
      <c r="O649" s="149"/>
      <c r="P649" s="149"/>
      <c r="V649" s="167"/>
      <c r="W649" s="167"/>
      <c r="X649" s="167"/>
      <c r="Y649" s="167"/>
      <c r="Z649" s="167"/>
    </row>
    <row r="650" spans="5:26" ht="12.75" customHeight="1">
      <c r="E650" s="264"/>
      <c r="F650" s="264"/>
      <c r="O650" s="149"/>
      <c r="P650" s="149"/>
      <c r="V650" s="167"/>
      <c r="W650" s="167"/>
      <c r="X650" s="167"/>
      <c r="Y650" s="167"/>
      <c r="Z650" s="167"/>
    </row>
    <row r="651" spans="5:26" ht="12.75" customHeight="1">
      <c r="E651" s="264"/>
      <c r="F651" s="264"/>
      <c r="O651" s="149"/>
      <c r="P651" s="149"/>
      <c r="V651" s="167"/>
      <c r="W651" s="167"/>
      <c r="X651" s="167"/>
      <c r="Y651" s="167"/>
      <c r="Z651" s="167"/>
    </row>
    <row r="652" spans="5:26" ht="12.75" customHeight="1">
      <c r="E652" s="264"/>
      <c r="F652" s="264"/>
      <c r="O652" s="149"/>
      <c r="P652" s="149"/>
      <c r="V652" s="167"/>
      <c r="W652" s="167"/>
      <c r="X652" s="167"/>
      <c r="Y652" s="167"/>
      <c r="Z652" s="167"/>
    </row>
    <row r="653" spans="5:26" ht="12.75" customHeight="1">
      <c r="E653" s="264"/>
      <c r="F653" s="264"/>
      <c r="O653" s="149"/>
      <c r="P653" s="149"/>
      <c r="V653" s="167"/>
      <c r="W653" s="167"/>
      <c r="X653" s="167"/>
      <c r="Y653" s="167"/>
      <c r="Z653" s="167"/>
    </row>
    <row r="654" spans="5:26" ht="12.75" customHeight="1">
      <c r="E654" s="264"/>
      <c r="F654" s="264"/>
      <c r="O654" s="149"/>
      <c r="P654" s="149"/>
      <c r="V654" s="167"/>
      <c r="W654" s="167"/>
      <c r="X654" s="167"/>
      <c r="Y654" s="167"/>
      <c r="Z654" s="167"/>
    </row>
    <row r="655" spans="5:26" ht="12.75" customHeight="1">
      <c r="E655" s="264"/>
      <c r="F655" s="264"/>
      <c r="O655" s="149"/>
      <c r="P655" s="149"/>
      <c r="V655" s="167"/>
      <c r="W655" s="167"/>
      <c r="X655" s="167"/>
      <c r="Y655" s="167"/>
      <c r="Z655" s="167"/>
    </row>
    <row r="656" spans="5:26" ht="12.75" customHeight="1">
      <c r="E656" s="264"/>
      <c r="F656" s="264"/>
      <c r="O656" s="149"/>
      <c r="P656" s="149"/>
      <c r="V656" s="167"/>
      <c r="W656" s="167"/>
      <c r="X656" s="167"/>
      <c r="Y656" s="167"/>
      <c r="Z656" s="167"/>
    </row>
    <row r="657" spans="5:26" ht="12.75" customHeight="1">
      <c r="E657" s="264"/>
      <c r="F657" s="264"/>
      <c r="O657" s="149"/>
      <c r="P657" s="149"/>
      <c r="V657" s="167"/>
      <c r="W657" s="167"/>
      <c r="X657" s="167"/>
      <c r="Y657" s="167"/>
      <c r="Z657" s="167"/>
    </row>
    <row r="658" spans="5:26" ht="12.75" customHeight="1">
      <c r="E658" s="264"/>
      <c r="F658" s="264"/>
      <c r="O658" s="149"/>
      <c r="P658" s="149"/>
      <c r="V658" s="167"/>
      <c r="W658" s="167"/>
      <c r="X658" s="167"/>
      <c r="Y658" s="167"/>
      <c r="Z658" s="167"/>
    </row>
    <row r="659" spans="5:26" ht="12.75" customHeight="1">
      <c r="E659" s="264"/>
      <c r="F659" s="264"/>
      <c r="O659" s="149"/>
      <c r="P659" s="149"/>
      <c r="V659" s="167"/>
      <c r="W659" s="167"/>
      <c r="X659" s="167"/>
      <c r="Y659" s="167"/>
      <c r="Z659" s="167"/>
    </row>
    <row r="660" spans="5:26" ht="12.75" customHeight="1">
      <c r="E660" s="264"/>
      <c r="F660" s="264"/>
      <c r="O660" s="149"/>
      <c r="P660" s="149"/>
      <c r="V660" s="167"/>
      <c r="W660" s="167"/>
      <c r="X660" s="167"/>
      <c r="Y660" s="167"/>
      <c r="Z660" s="167"/>
    </row>
    <row r="661" spans="5:26" ht="12.75" customHeight="1">
      <c r="E661" s="264"/>
      <c r="F661" s="264"/>
      <c r="O661" s="149"/>
      <c r="P661" s="149"/>
      <c r="V661" s="167"/>
      <c r="W661" s="167"/>
      <c r="X661" s="167"/>
      <c r="Y661" s="167"/>
      <c r="Z661" s="167"/>
    </row>
    <row r="662" spans="5:26" ht="12.75" customHeight="1">
      <c r="E662" s="264"/>
      <c r="F662" s="264"/>
      <c r="O662" s="149"/>
      <c r="P662" s="149"/>
      <c r="V662" s="167"/>
      <c r="W662" s="167"/>
      <c r="X662" s="167"/>
      <c r="Y662" s="167"/>
      <c r="Z662" s="167"/>
    </row>
    <row r="663" spans="5:26" ht="12.75" customHeight="1">
      <c r="E663" s="264"/>
      <c r="F663" s="264"/>
      <c r="O663" s="149"/>
      <c r="P663" s="149"/>
      <c r="V663" s="167"/>
      <c r="W663" s="167"/>
      <c r="X663" s="167"/>
      <c r="Y663" s="167"/>
      <c r="Z663" s="167"/>
    </row>
    <row r="664" spans="5:26" ht="12.75" customHeight="1">
      <c r="E664" s="264"/>
      <c r="F664" s="264"/>
      <c r="O664" s="149"/>
      <c r="P664" s="149"/>
      <c r="V664" s="167"/>
      <c r="W664" s="167"/>
      <c r="X664" s="167"/>
      <c r="Y664" s="167"/>
      <c r="Z664" s="167"/>
    </row>
    <row r="665" spans="5:26" ht="12.75" customHeight="1">
      <c r="E665" s="264"/>
      <c r="F665" s="264"/>
      <c r="O665" s="149"/>
      <c r="P665" s="149"/>
      <c r="V665" s="167"/>
      <c r="W665" s="167"/>
      <c r="X665" s="167"/>
      <c r="Y665" s="167"/>
      <c r="Z665" s="167"/>
    </row>
    <row r="666" spans="5:26" ht="12.75" customHeight="1">
      <c r="E666" s="264"/>
      <c r="F666" s="264"/>
      <c r="O666" s="149"/>
      <c r="P666" s="149"/>
      <c r="V666" s="167"/>
      <c r="W666" s="167"/>
      <c r="X666" s="167"/>
      <c r="Y666" s="167"/>
      <c r="Z666" s="167"/>
    </row>
    <row r="667" spans="5:26" ht="12.75" customHeight="1">
      <c r="E667" s="264"/>
      <c r="F667" s="264"/>
      <c r="O667" s="149"/>
      <c r="P667" s="149"/>
      <c r="V667" s="167"/>
      <c r="W667" s="167"/>
      <c r="X667" s="167"/>
      <c r="Y667" s="167"/>
      <c r="Z667" s="167"/>
    </row>
    <row r="668" spans="5:26" ht="12.75" customHeight="1">
      <c r="E668" s="264"/>
      <c r="F668" s="264"/>
      <c r="O668" s="149"/>
      <c r="P668" s="149"/>
      <c r="V668" s="167"/>
      <c r="W668" s="167"/>
      <c r="X668" s="167"/>
      <c r="Y668" s="167"/>
      <c r="Z668" s="167"/>
    </row>
    <row r="669" spans="5:26" ht="12.75" customHeight="1">
      <c r="E669" s="264"/>
      <c r="F669" s="264"/>
      <c r="O669" s="149"/>
      <c r="P669" s="149"/>
      <c r="V669" s="167"/>
      <c r="W669" s="167"/>
      <c r="X669" s="167"/>
      <c r="Y669" s="167"/>
      <c r="Z669" s="167"/>
    </row>
    <row r="670" spans="5:26" ht="12.75" customHeight="1">
      <c r="E670" s="264"/>
      <c r="F670" s="264"/>
      <c r="O670" s="149"/>
      <c r="P670" s="149"/>
      <c r="V670" s="167"/>
      <c r="W670" s="167"/>
      <c r="X670" s="167"/>
      <c r="Y670" s="167"/>
      <c r="Z670" s="167"/>
    </row>
    <row r="671" spans="5:26" ht="12.75" customHeight="1">
      <c r="E671" s="264"/>
      <c r="F671" s="264"/>
      <c r="O671" s="149"/>
      <c r="P671" s="149"/>
      <c r="V671" s="167"/>
      <c r="W671" s="167"/>
      <c r="X671" s="167"/>
      <c r="Y671" s="167"/>
      <c r="Z671" s="167"/>
    </row>
    <row r="672" spans="5:26" ht="12.75" customHeight="1">
      <c r="E672" s="264"/>
      <c r="F672" s="264"/>
      <c r="O672" s="149"/>
      <c r="P672" s="149"/>
      <c r="V672" s="167"/>
      <c r="W672" s="167"/>
      <c r="X672" s="167"/>
      <c r="Y672" s="167"/>
      <c r="Z672" s="167"/>
    </row>
    <row r="673" spans="5:26" ht="12.75" customHeight="1">
      <c r="E673" s="264"/>
      <c r="F673" s="264"/>
      <c r="O673" s="149"/>
      <c r="P673" s="149"/>
      <c r="V673" s="167"/>
      <c r="W673" s="167"/>
      <c r="X673" s="167"/>
      <c r="Y673" s="167"/>
      <c r="Z673" s="167"/>
    </row>
    <row r="674" spans="5:26" ht="12.75" customHeight="1">
      <c r="E674" s="264"/>
      <c r="F674" s="264"/>
      <c r="O674" s="149"/>
      <c r="P674" s="149"/>
      <c r="V674" s="167"/>
      <c r="W674" s="167"/>
      <c r="X674" s="167"/>
      <c r="Y674" s="167"/>
      <c r="Z674" s="167"/>
    </row>
    <row r="675" spans="5:26" ht="12.75" customHeight="1">
      <c r="E675" s="264"/>
      <c r="F675" s="264"/>
      <c r="O675" s="149"/>
      <c r="P675" s="149"/>
      <c r="V675" s="167"/>
      <c r="W675" s="167"/>
      <c r="X675" s="167"/>
      <c r="Y675" s="167"/>
      <c r="Z675" s="167"/>
    </row>
    <row r="676" spans="5:26" ht="12.75" customHeight="1">
      <c r="E676" s="264"/>
      <c r="F676" s="264"/>
      <c r="O676" s="149"/>
      <c r="P676" s="149"/>
      <c r="V676" s="167"/>
      <c r="W676" s="167"/>
      <c r="X676" s="167"/>
      <c r="Y676" s="167"/>
      <c r="Z676" s="167"/>
    </row>
    <row r="677" spans="5:26" ht="12.75" customHeight="1">
      <c r="E677" s="264"/>
      <c r="F677" s="264"/>
      <c r="O677" s="149"/>
      <c r="P677" s="149"/>
      <c r="V677" s="167"/>
      <c r="W677" s="167"/>
      <c r="X677" s="167"/>
      <c r="Y677" s="167"/>
      <c r="Z677" s="167"/>
    </row>
    <row r="678" spans="5:26" ht="12.75" customHeight="1">
      <c r="E678" s="264"/>
      <c r="F678" s="264"/>
      <c r="O678" s="149"/>
      <c r="P678" s="149"/>
      <c r="V678" s="167"/>
      <c r="W678" s="167"/>
      <c r="X678" s="167"/>
      <c r="Y678" s="167"/>
      <c r="Z678" s="167"/>
    </row>
    <row r="679" spans="5:26" ht="12.75" customHeight="1">
      <c r="E679" s="264"/>
      <c r="F679" s="264"/>
      <c r="O679" s="149"/>
      <c r="P679" s="149"/>
      <c r="V679" s="167"/>
      <c r="W679" s="167"/>
      <c r="X679" s="167"/>
      <c r="Y679" s="167"/>
      <c r="Z679" s="167"/>
    </row>
    <row r="680" spans="5:26" ht="12.75" customHeight="1">
      <c r="E680" s="264"/>
      <c r="F680" s="264"/>
      <c r="O680" s="149"/>
      <c r="P680" s="149"/>
      <c r="V680" s="167"/>
      <c r="W680" s="167"/>
      <c r="X680" s="167"/>
      <c r="Y680" s="167"/>
      <c r="Z680" s="167"/>
    </row>
    <row r="681" spans="5:26" ht="12.75" customHeight="1">
      <c r="E681" s="264"/>
      <c r="F681" s="264"/>
      <c r="O681" s="149"/>
      <c r="P681" s="149"/>
      <c r="V681" s="167"/>
      <c r="W681" s="167"/>
      <c r="X681" s="167"/>
      <c r="Y681" s="167"/>
      <c r="Z681" s="167"/>
    </row>
    <row r="682" spans="5:26" ht="12.75" customHeight="1">
      <c r="E682" s="264"/>
      <c r="F682" s="264"/>
      <c r="O682" s="149"/>
      <c r="P682" s="149"/>
      <c r="V682" s="167"/>
      <c r="W682" s="167"/>
      <c r="X682" s="167"/>
      <c r="Y682" s="167"/>
      <c r="Z682" s="167"/>
    </row>
    <row r="683" spans="5:26" ht="12.75" customHeight="1">
      <c r="E683" s="264"/>
      <c r="F683" s="264"/>
      <c r="O683" s="149"/>
      <c r="P683" s="149"/>
      <c r="V683" s="167"/>
      <c r="W683" s="167"/>
      <c r="X683" s="167"/>
      <c r="Y683" s="167"/>
      <c r="Z683" s="167"/>
    </row>
    <row r="684" spans="5:26" ht="12.75" customHeight="1">
      <c r="E684" s="264"/>
      <c r="F684" s="264"/>
      <c r="O684" s="149"/>
      <c r="P684" s="149"/>
      <c r="V684" s="167"/>
      <c r="W684" s="167"/>
      <c r="X684" s="167"/>
      <c r="Y684" s="167"/>
      <c r="Z684" s="167"/>
    </row>
    <row r="685" spans="5:26" ht="12.75" customHeight="1">
      <c r="E685" s="264"/>
      <c r="F685" s="264"/>
      <c r="O685" s="149"/>
      <c r="P685" s="149"/>
      <c r="V685" s="167"/>
      <c r="W685" s="167"/>
      <c r="X685" s="167"/>
      <c r="Y685" s="167"/>
      <c r="Z685" s="167"/>
    </row>
    <row r="686" spans="5:26" ht="12.75" customHeight="1">
      <c r="E686" s="264"/>
      <c r="F686" s="264"/>
      <c r="O686" s="149"/>
      <c r="P686" s="149"/>
      <c r="V686" s="167"/>
      <c r="W686" s="167"/>
      <c r="X686" s="167"/>
      <c r="Y686" s="167"/>
      <c r="Z686" s="167"/>
    </row>
    <row r="687" spans="5:26" ht="12.75" customHeight="1">
      <c r="E687" s="264"/>
      <c r="F687" s="264"/>
      <c r="O687" s="149"/>
      <c r="P687" s="149"/>
      <c r="V687" s="167"/>
      <c r="W687" s="167"/>
      <c r="X687" s="167"/>
      <c r="Y687" s="167"/>
      <c r="Z687" s="167"/>
    </row>
    <row r="688" spans="5:26" ht="12.75" customHeight="1">
      <c r="E688" s="264"/>
      <c r="F688" s="264"/>
      <c r="O688" s="149"/>
      <c r="P688" s="149"/>
      <c r="V688" s="167"/>
      <c r="W688" s="167"/>
      <c r="X688" s="167"/>
      <c r="Y688" s="167"/>
      <c r="Z688" s="167"/>
    </row>
    <row r="689" spans="5:26" ht="12.75" customHeight="1">
      <c r="E689" s="264"/>
      <c r="F689" s="264"/>
      <c r="O689" s="149"/>
      <c r="P689" s="149"/>
      <c r="V689" s="167"/>
      <c r="W689" s="167"/>
      <c r="X689" s="167"/>
      <c r="Y689" s="167"/>
      <c r="Z689" s="167"/>
    </row>
    <row r="690" spans="5:26" ht="12.75" customHeight="1">
      <c r="E690" s="264"/>
      <c r="F690" s="264"/>
      <c r="O690" s="149"/>
      <c r="P690" s="149"/>
      <c r="V690" s="167"/>
      <c r="W690" s="167"/>
      <c r="X690" s="167"/>
      <c r="Y690" s="167"/>
      <c r="Z690" s="167"/>
    </row>
    <row r="691" spans="5:26" ht="12.75" customHeight="1">
      <c r="E691" s="264"/>
      <c r="F691" s="264"/>
      <c r="O691" s="149"/>
      <c r="P691" s="149"/>
      <c r="V691" s="167"/>
      <c r="W691" s="167"/>
      <c r="X691" s="167"/>
      <c r="Y691" s="167"/>
      <c r="Z691" s="167"/>
    </row>
    <row r="692" spans="5:26" ht="12.75" customHeight="1">
      <c r="E692" s="264"/>
      <c r="F692" s="264"/>
      <c r="O692" s="149"/>
      <c r="P692" s="149"/>
      <c r="V692" s="167"/>
      <c r="W692" s="167"/>
      <c r="X692" s="167"/>
      <c r="Y692" s="167"/>
      <c r="Z692" s="167"/>
    </row>
    <row r="693" spans="5:26" ht="12.75" customHeight="1">
      <c r="E693" s="264"/>
      <c r="F693" s="264"/>
      <c r="O693" s="149"/>
      <c r="P693" s="149"/>
      <c r="V693" s="167"/>
      <c r="W693" s="167"/>
      <c r="X693" s="167"/>
      <c r="Y693" s="167"/>
      <c r="Z693" s="167"/>
    </row>
    <row r="694" spans="5:26" ht="12.75" customHeight="1">
      <c r="E694" s="264"/>
      <c r="F694" s="264"/>
      <c r="O694" s="149"/>
      <c r="P694" s="149"/>
      <c r="V694" s="167"/>
      <c r="W694" s="167"/>
      <c r="X694" s="167"/>
      <c r="Y694" s="167"/>
      <c r="Z694" s="167"/>
    </row>
    <row r="695" spans="5:26" ht="12.75" customHeight="1">
      <c r="E695" s="264"/>
      <c r="F695" s="264"/>
      <c r="O695" s="149"/>
      <c r="P695" s="149"/>
      <c r="V695" s="167"/>
      <c r="W695" s="167"/>
      <c r="X695" s="167"/>
      <c r="Y695" s="167"/>
      <c r="Z695" s="167"/>
    </row>
    <row r="696" spans="5:26" ht="12.75" customHeight="1">
      <c r="E696" s="264"/>
      <c r="F696" s="264"/>
      <c r="O696" s="149"/>
      <c r="P696" s="149"/>
      <c r="V696" s="167"/>
      <c r="W696" s="167"/>
      <c r="X696" s="167"/>
      <c r="Y696" s="167"/>
      <c r="Z696" s="167"/>
    </row>
    <row r="697" spans="5:26" ht="12.75" customHeight="1">
      <c r="E697" s="264"/>
      <c r="F697" s="264"/>
      <c r="O697" s="149"/>
      <c r="P697" s="149"/>
      <c r="V697" s="167"/>
      <c r="W697" s="167"/>
      <c r="X697" s="167"/>
      <c r="Y697" s="167"/>
      <c r="Z697" s="167"/>
    </row>
    <row r="698" spans="5:26" ht="12.75" customHeight="1">
      <c r="E698" s="264"/>
      <c r="F698" s="264"/>
      <c r="O698" s="149"/>
      <c r="P698" s="149"/>
      <c r="V698" s="167"/>
      <c r="W698" s="167"/>
      <c r="X698" s="167"/>
      <c r="Y698" s="167"/>
      <c r="Z698" s="167"/>
    </row>
    <row r="699" spans="5:26" ht="12.75" customHeight="1">
      <c r="E699" s="264"/>
      <c r="F699" s="264"/>
      <c r="O699" s="149"/>
      <c r="P699" s="149"/>
      <c r="V699" s="167"/>
      <c r="W699" s="167"/>
      <c r="X699" s="167"/>
      <c r="Y699" s="167"/>
      <c r="Z699" s="167"/>
    </row>
    <row r="700" spans="5:26" ht="12.75" customHeight="1">
      <c r="E700" s="264"/>
      <c r="F700" s="264"/>
      <c r="O700" s="149"/>
      <c r="P700" s="149"/>
      <c r="V700" s="167"/>
      <c r="W700" s="167"/>
      <c r="X700" s="167"/>
      <c r="Y700" s="167"/>
      <c r="Z700" s="167"/>
    </row>
    <row r="701" spans="5:26" ht="12.75" customHeight="1">
      <c r="E701" s="264"/>
      <c r="F701" s="264"/>
      <c r="O701" s="149"/>
      <c r="P701" s="149"/>
      <c r="V701" s="167"/>
      <c r="W701" s="167"/>
      <c r="X701" s="167"/>
      <c r="Y701" s="167"/>
      <c r="Z701" s="167"/>
    </row>
    <row r="702" spans="5:26" ht="12.75" customHeight="1">
      <c r="E702" s="264"/>
      <c r="F702" s="264"/>
      <c r="O702" s="149"/>
      <c r="P702" s="149"/>
      <c r="V702" s="167"/>
      <c r="W702" s="167"/>
      <c r="X702" s="167"/>
      <c r="Y702" s="167"/>
      <c r="Z702" s="167"/>
    </row>
    <row r="703" spans="5:26" ht="12.75" customHeight="1">
      <c r="E703" s="264"/>
      <c r="F703" s="264"/>
      <c r="O703" s="149"/>
      <c r="P703" s="149"/>
      <c r="V703" s="167"/>
      <c r="W703" s="167"/>
      <c r="X703" s="167"/>
      <c r="Y703" s="167"/>
      <c r="Z703" s="167"/>
    </row>
    <row r="704" spans="5:26" ht="12.75" customHeight="1">
      <c r="E704" s="264"/>
      <c r="F704" s="264"/>
      <c r="O704" s="149"/>
      <c r="P704" s="149"/>
      <c r="V704" s="167"/>
      <c r="W704" s="167"/>
      <c r="X704" s="167"/>
      <c r="Y704" s="167"/>
      <c r="Z704" s="167"/>
    </row>
    <row r="705" spans="5:26" ht="12.75" customHeight="1">
      <c r="E705" s="264"/>
      <c r="F705" s="264"/>
      <c r="O705" s="149"/>
      <c r="P705" s="149"/>
      <c r="V705" s="167"/>
      <c r="W705" s="167"/>
      <c r="X705" s="167"/>
      <c r="Y705" s="167"/>
      <c r="Z705" s="167"/>
    </row>
    <row r="706" spans="5:26" ht="12.75" customHeight="1">
      <c r="E706" s="264"/>
      <c r="F706" s="264"/>
      <c r="O706" s="149"/>
      <c r="P706" s="149"/>
      <c r="V706" s="167"/>
      <c r="W706" s="167"/>
      <c r="X706" s="167"/>
      <c r="Y706" s="167"/>
      <c r="Z706" s="167"/>
    </row>
    <row r="707" spans="5:26" ht="12.75" customHeight="1">
      <c r="E707" s="264"/>
      <c r="F707" s="264"/>
      <c r="O707" s="149"/>
      <c r="P707" s="149"/>
      <c r="V707" s="167"/>
      <c r="W707" s="167"/>
      <c r="X707" s="167"/>
      <c r="Y707" s="167"/>
      <c r="Z707" s="167"/>
    </row>
    <row r="708" spans="5:26" ht="12.75" customHeight="1">
      <c r="E708" s="264"/>
      <c r="F708" s="264"/>
      <c r="O708" s="149"/>
      <c r="P708" s="149"/>
      <c r="V708" s="167"/>
      <c r="W708" s="167"/>
      <c r="X708" s="167"/>
      <c r="Y708" s="167"/>
      <c r="Z708" s="167"/>
    </row>
    <row r="709" spans="5:26" ht="12.75" customHeight="1">
      <c r="E709" s="264"/>
      <c r="F709" s="264"/>
      <c r="O709" s="149"/>
      <c r="P709" s="149"/>
      <c r="V709" s="167"/>
      <c r="W709" s="167"/>
      <c r="X709" s="167"/>
      <c r="Y709" s="167"/>
      <c r="Z709" s="167"/>
    </row>
    <row r="710" spans="5:26" ht="12.75" customHeight="1">
      <c r="E710" s="264"/>
      <c r="F710" s="264"/>
      <c r="O710" s="149"/>
      <c r="P710" s="149"/>
      <c r="V710" s="167"/>
      <c r="W710" s="167"/>
      <c r="X710" s="167"/>
      <c r="Y710" s="167"/>
      <c r="Z710" s="167"/>
    </row>
    <row r="711" spans="5:26" ht="12.75" customHeight="1">
      <c r="E711" s="264"/>
      <c r="F711" s="264"/>
      <c r="O711" s="149"/>
      <c r="P711" s="149"/>
      <c r="V711" s="167"/>
      <c r="W711" s="167"/>
      <c r="X711" s="167"/>
      <c r="Y711" s="167"/>
      <c r="Z711" s="167"/>
    </row>
    <row r="712" spans="5:26" ht="12.75" customHeight="1">
      <c r="E712" s="264"/>
      <c r="F712" s="264"/>
      <c r="O712" s="149"/>
      <c r="P712" s="149"/>
      <c r="V712" s="167"/>
      <c r="W712" s="167"/>
      <c r="X712" s="167"/>
      <c r="Y712" s="167"/>
      <c r="Z712" s="167"/>
    </row>
    <row r="713" spans="5:26" ht="12.75" customHeight="1">
      <c r="E713" s="264"/>
      <c r="F713" s="264"/>
      <c r="O713" s="149"/>
      <c r="P713" s="149"/>
      <c r="V713" s="167"/>
      <c r="W713" s="167"/>
      <c r="X713" s="167"/>
      <c r="Y713" s="167"/>
      <c r="Z713" s="167"/>
    </row>
    <row r="714" spans="5:26" ht="12.75" customHeight="1">
      <c r="E714" s="264"/>
      <c r="F714" s="264"/>
      <c r="O714" s="149"/>
      <c r="P714" s="149"/>
      <c r="V714" s="167"/>
      <c r="W714" s="167"/>
      <c r="X714" s="167"/>
      <c r="Y714" s="167"/>
      <c r="Z714" s="167"/>
    </row>
    <row r="715" spans="5:26" ht="12.75" customHeight="1">
      <c r="E715" s="264"/>
      <c r="F715" s="264"/>
      <c r="O715" s="149"/>
      <c r="P715" s="149"/>
      <c r="V715" s="167"/>
      <c r="W715" s="167"/>
      <c r="X715" s="167"/>
      <c r="Y715" s="167"/>
      <c r="Z715" s="167"/>
    </row>
    <row r="716" spans="5:26" ht="12.75" customHeight="1">
      <c r="E716" s="264"/>
      <c r="F716" s="264"/>
      <c r="O716" s="149"/>
      <c r="P716" s="149"/>
      <c r="V716" s="167"/>
      <c r="W716" s="167"/>
      <c r="X716" s="167"/>
      <c r="Y716" s="167"/>
      <c r="Z716" s="167"/>
    </row>
    <row r="717" spans="5:26" ht="12.75" customHeight="1">
      <c r="E717" s="264"/>
      <c r="F717" s="264"/>
      <c r="O717" s="149"/>
      <c r="P717" s="149"/>
      <c r="V717" s="167"/>
      <c r="W717" s="167"/>
      <c r="X717" s="167"/>
      <c r="Y717" s="167"/>
      <c r="Z717" s="167"/>
    </row>
    <row r="718" spans="5:26" ht="12.75" customHeight="1">
      <c r="E718" s="264"/>
      <c r="F718" s="264"/>
      <c r="O718" s="149"/>
      <c r="P718" s="149"/>
      <c r="V718" s="167"/>
      <c r="W718" s="167"/>
      <c r="X718" s="167"/>
      <c r="Y718" s="167"/>
      <c r="Z718" s="167"/>
    </row>
    <row r="719" spans="5:26" ht="12.75" customHeight="1">
      <c r="E719" s="264"/>
      <c r="F719" s="264"/>
      <c r="O719" s="149"/>
      <c r="P719" s="149"/>
      <c r="V719" s="167"/>
      <c r="W719" s="167"/>
      <c r="X719" s="167"/>
      <c r="Y719" s="167"/>
      <c r="Z719" s="167"/>
    </row>
    <row r="720" spans="5:26" ht="12.75" customHeight="1">
      <c r="E720" s="264"/>
      <c r="F720" s="264"/>
      <c r="O720" s="149"/>
      <c r="P720" s="149"/>
      <c r="V720" s="167"/>
      <c r="W720" s="167"/>
      <c r="X720" s="167"/>
      <c r="Y720" s="167"/>
      <c r="Z720" s="167"/>
    </row>
    <row r="721" spans="5:26" ht="12.75" customHeight="1">
      <c r="E721" s="264"/>
      <c r="F721" s="264"/>
      <c r="O721" s="149"/>
      <c r="P721" s="149"/>
      <c r="V721" s="167"/>
      <c r="W721" s="167"/>
      <c r="X721" s="167"/>
      <c r="Y721" s="167"/>
      <c r="Z721" s="167"/>
    </row>
    <row r="722" spans="5:26" ht="12.75" customHeight="1">
      <c r="E722" s="264"/>
      <c r="F722" s="264"/>
      <c r="O722" s="149"/>
      <c r="P722" s="149"/>
      <c r="V722" s="167"/>
      <c r="W722" s="167"/>
      <c r="X722" s="167"/>
      <c r="Y722" s="167"/>
      <c r="Z722" s="167"/>
    </row>
    <row r="723" spans="5:26" ht="12.75" customHeight="1">
      <c r="E723" s="264"/>
      <c r="F723" s="264"/>
      <c r="O723" s="149"/>
      <c r="P723" s="149"/>
      <c r="V723" s="167"/>
      <c r="W723" s="167"/>
      <c r="X723" s="167"/>
      <c r="Y723" s="167"/>
      <c r="Z723" s="167"/>
    </row>
    <row r="724" spans="5:26" ht="12.75" customHeight="1">
      <c r="E724" s="264"/>
      <c r="F724" s="264"/>
      <c r="O724" s="149"/>
      <c r="P724" s="149"/>
      <c r="V724" s="167"/>
      <c r="W724" s="167"/>
      <c r="X724" s="167"/>
      <c r="Y724" s="167"/>
      <c r="Z724" s="167"/>
    </row>
    <row r="725" spans="5:26" ht="12.75" customHeight="1">
      <c r="E725" s="264"/>
      <c r="F725" s="264"/>
      <c r="O725" s="149"/>
      <c r="P725" s="149"/>
      <c r="V725" s="167"/>
      <c r="W725" s="167"/>
      <c r="X725" s="167"/>
      <c r="Y725" s="167"/>
      <c r="Z725" s="167"/>
    </row>
    <row r="726" spans="5:26" ht="12.75" customHeight="1">
      <c r="E726" s="264"/>
      <c r="F726" s="264"/>
      <c r="O726" s="149"/>
      <c r="P726" s="149"/>
      <c r="V726" s="167"/>
      <c r="W726" s="167"/>
      <c r="X726" s="167"/>
      <c r="Y726" s="167"/>
      <c r="Z726" s="167"/>
    </row>
    <row r="727" spans="5:26" ht="12.75" customHeight="1">
      <c r="E727" s="264"/>
      <c r="F727" s="264"/>
      <c r="O727" s="149"/>
      <c r="P727" s="149"/>
      <c r="V727" s="167"/>
      <c r="W727" s="167"/>
      <c r="X727" s="167"/>
      <c r="Y727" s="167"/>
      <c r="Z727" s="167"/>
    </row>
    <row r="728" spans="5:26" ht="12.75" customHeight="1">
      <c r="E728" s="264"/>
      <c r="F728" s="264"/>
      <c r="O728" s="149"/>
      <c r="P728" s="149"/>
      <c r="V728" s="167"/>
      <c r="W728" s="167"/>
      <c r="X728" s="167"/>
      <c r="Y728" s="167"/>
      <c r="Z728" s="167"/>
    </row>
    <row r="729" spans="5:26" ht="12.75" customHeight="1">
      <c r="E729" s="264"/>
      <c r="F729" s="264"/>
      <c r="O729" s="149"/>
      <c r="P729" s="149"/>
      <c r="V729" s="167"/>
      <c r="W729" s="167"/>
      <c r="X729" s="167"/>
      <c r="Y729" s="167"/>
      <c r="Z729" s="167"/>
    </row>
    <row r="730" spans="5:26" ht="12.75" customHeight="1">
      <c r="E730" s="264"/>
      <c r="F730" s="264"/>
      <c r="O730" s="149"/>
      <c r="P730" s="149"/>
      <c r="V730" s="167"/>
      <c r="W730" s="167"/>
      <c r="X730" s="167"/>
      <c r="Y730" s="167"/>
      <c r="Z730" s="167"/>
    </row>
    <row r="731" spans="5:26" ht="12.75" customHeight="1">
      <c r="E731" s="264"/>
      <c r="F731" s="264"/>
      <c r="O731" s="149"/>
      <c r="P731" s="149"/>
      <c r="V731" s="167"/>
      <c r="W731" s="167"/>
      <c r="X731" s="167"/>
      <c r="Y731" s="167"/>
      <c r="Z731" s="167"/>
    </row>
    <row r="732" spans="5:26" ht="12.75" customHeight="1">
      <c r="E732" s="264"/>
      <c r="F732" s="264"/>
      <c r="O732" s="149"/>
      <c r="P732" s="149"/>
      <c r="V732" s="167"/>
      <c r="W732" s="167"/>
      <c r="X732" s="167"/>
      <c r="Y732" s="167"/>
      <c r="Z732" s="167"/>
    </row>
    <row r="733" spans="5:26" ht="12.75" customHeight="1">
      <c r="E733" s="264"/>
      <c r="F733" s="264"/>
      <c r="O733" s="149"/>
      <c r="P733" s="149"/>
      <c r="V733" s="167"/>
      <c r="W733" s="167"/>
      <c r="X733" s="167"/>
      <c r="Y733" s="167"/>
      <c r="Z733" s="167"/>
    </row>
    <row r="734" spans="5:26" ht="12.75" customHeight="1">
      <c r="E734" s="264"/>
      <c r="F734" s="264"/>
      <c r="O734" s="149"/>
      <c r="P734" s="149"/>
      <c r="V734" s="167"/>
      <c r="W734" s="167"/>
      <c r="X734" s="167"/>
      <c r="Y734" s="167"/>
      <c r="Z734" s="167"/>
    </row>
    <row r="735" spans="5:26" ht="12.75" customHeight="1">
      <c r="E735" s="264"/>
      <c r="F735" s="264"/>
      <c r="O735" s="149"/>
      <c r="P735" s="149"/>
      <c r="V735" s="167"/>
      <c r="W735" s="167"/>
      <c r="X735" s="167"/>
      <c r="Y735" s="167"/>
      <c r="Z735" s="167"/>
    </row>
    <row r="736" spans="5:26" ht="12.75" customHeight="1">
      <c r="E736" s="264"/>
      <c r="F736" s="264"/>
      <c r="O736" s="149"/>
      <c r="P736" s="149"/>
      <c r="V736" s="167"/>
      <c r="W736" s="167"/>
      <c r="X736" s="167"/>
      <c r="Y736" s="167"/>
      <c r="Z736" s="167"/>
    </row>
    <row r="737" spans="5:26" ht="12.75" customHeight="1">
      <c r="E737" s="264"/>
      <c r="F737" s="264"/>
      <c r="O737" s="149"/>
      <c r="P737" s="149"/>
      <c r="V737" s="167"/>
      <c r="W737" s="167"/>
      <c r="X737" s="167"/>
      <c r="Y737" s="167"/>
      <c r="Z737" s="167"/>
    </row>
    <row r="738" spans="5:26" ht="12.75" customHeight="1">
      <c r="E738" s="264"/>
      <c r="F738" s="264"/>
      <c r="O738" s="149"/>
      <c r="P738" s="149"/>
      <c r="V738" s="167"/>
      <c r="W738" s="167"/>
      <c r="X738" s="167"/>
      <c r="Y738" s="167"/>
      <c r="Z738" s="167"/>
    </row>
    <row r="739" spans="5:26" ht="12.75" customHeight="1">
      <c r="E739" s="264"/>
      <c r="F739" s="264"/>
      <c r="O739" s="149"/>
      <c r="P739" s="149"/>
      <c r="V739" s="167"/>
      <c r="W739" s="167"/>
      <c r="X739" s="167"/>
      <c r="Y739" s="167"/>
      <c r="Z739" s="167"/>
    </row>
    <row r="740" spans="5:26" ht="12.75" customHeight="1">
      <c r="E740" s="264"/>
      <c r="F740" s="264"/>
      <c r="O740" s="149"/>
      <c r="P740" s="149"/>
      <c r="V740" s="167"/>
      <c r="W740" s="167"/>
      <c r="X740" s="167"/>
      <c r="Y740" s="167"/>
      <c r="Z740" s="167"/>
    </row>
    <row r="741" spans="5:26" ht="12.75" customHeight="1">
      <c r="E741" s="264"/>
      <c r="F741" s="264"/>
      <c r="O741" s="149"/>
      <c r="P741" s="149"/>
      <c r="V741" s="167"/>
      <c r="W741" s="167"/>
      <c r="X741" s="167"/>
      <c r="Y741" s="167"/>
      <c r="Z741" s="167"/>
    </row>
    <row r="742" spans="5:26" ht="12.75" customHeight="1">
      <c r="E742" s="264"/>
      <c r="F742" s="264"/>
      <c r="O742" s="149"/>
      <c r="P742" s="149"/>
      <c r="V742" s="167"/>
      <c r="W742" s="167"/>
      <c r="X742" s="167"/>
      <c r="Y742" s="167"/>
      <c r="Z742" s="167"/>
    </row>
    <row r="743" spans="5:26" ht="12.75" customHeight="1">
      <c r="E743" s="264"/>
      <c r="F743" s="264"/>
      <c r="O743" s="149"/>
      <c r="P743" s="149"/>
      <c r="V743" s="167"/>
      <c r="W743" s="167"/>
      <c r="X743" s="167"/>
      <c r="Y743" s="167"/>
      <c r="Z743" s="167"/>
    </row>
    <row r="744" spans="5:26" ht="12.75" customHeight="1">
      <c r="E744" s="264"/>
      <c r="F744" s="264"/>
      <c r="O744" s="149"/>
      <c r="P744" s="149"/>
      <c r="V744" s="167"/>
      <c r="W744" s="167"/>
      <c r="X744" s="167"/>
      <c r="Y744" s="167"/>
      <c r="Z744" s="167"/>
    </row>
    <row r="745" spans="5:26" ht="12.75" customHeight="1">
      <c r="E745" s="264"/>
      <c r="F745" s="264"/>
      <c r="O745" s="149"/>
      <c r="P745" s="149"/>
      <c r="V745" s="167"/>
      <c r="W745" s="167"/>
      <c r="X745" s="167"/>
      <c r="Y745" s="167"/>
      <c r="Z745" s="167"/>
    </row>
    <row r="746" spans="5:26" ht="12.75" customHeight="1">
      <c r="E746" s="264"/>
      <c r="F746" s="264"/>
      <c r="O746" s="149"/>
      <c r="P746" s="149"/>
      <c r="V746" s="167"/>
      <c r="W746" s="167"/>
      <c r="X746" s="167"/>
      <c r="Y746" s="167"/>
      <c r="Z746" s="167"/>
    </row>
    <row r="747" spans="5:26" ht="12.75" customHeight="1">
      <c r="E747" s="264"/>
      <c r="F747" s="264"/>
      <c r="O747" s="149"/>
      <c r="P747" s="149"/>
      <c r="V747" s="167"/>
      <c r="W747" s="167"/>
      <c r="X747" s="167"/>
      <c r="Y747" s="167"/>
      <c r="Z747" s="167"/>
    </row>
    <row r="748" spans="5:26" ht="12.75" customHeight="1">
      <c r="E748" s="264"/>
      <c r="F748" s="264"/>
      <c r="O748" s="149"/>
      <c r="P748" s="149"/>
      <c r="V748" s="167"/>
      <c r="W748" s="167"/>
      <c r="X748" s="167"/>
      <c r="Y748" s="167"/>
      <c r="Z748" s="167"/>
    </row>
    <row r="749" spans="5:26" ht="12.75" customHeight="1">
      <c r="E749" s="264"/>
      <c r="F749" s="264"/>
      <c r="O749" s="149"/>
      <c r="P749" s="149"/>
      <c r="V749" s="167"/>
      <c r="W749" s="167"/>
      <c r="X749" s="167"/>
      <c r="Y749" s="167"/>
      <c r="Z749" s="167"/>
    </row>
    <row r="750" spans="5:26" ht="12.75" customHeight="1">
      <c r="E750" s="264"/>
      <c r="F750" s="264"/>
      <c r="O750" s="149"/>
      <c r="P750" s="149"/>
      <c r="V750" s="167"/>
      <c r="W750" s="167"/>
      <c r="X750" s="167"/>
      <c r="Y750" s="167"/>
      <c r="Z750" s="167"/>
    </row>
    <row r="751" spans="5:26" ht="12.75" customHeight="1">
      <c r="E751" s="264"/>
      <c r="F751" s="264"/>
      <c r="O751" s="149"/>
      <c r="P751" s="149"/>
      <c r="V751" s="167"/>
      <c r="W751" s="167"/>
      <c r="X751" s="167"/>
      <c r="Y751" s="167"/>
      <c r="Z751" s="167"/>
    </row>
    <row r="752" spans="5:26" ht="12.75" customHeight="1">
      <c r="E752" s="264"/>
      <c r="F752" s="264"/>
      <c r="O752" s="149"/>
      <c r="P752" s="149"/>
      <c r="V752" s="167"/>
      <c r="W752" s="167"/>
      <c r="X752" s="167"/>
      <c r="Y752" s="167"/>
      <c r="Z752" s="167"/>
    </row>
    <row r="753" spans="5:26" ht="12.75" customHeight="1">
      <c r="E753" s="264"/>
      <c r="F753" s="264"/>
      <c r="O753" s="149"/>
      <c r="P753" s="149"/>
      <c r="V753" s="167"/>
      <c r="W753" s="167"/>
      <c r="X753" s="167"/>
      <c r="Y753" s="167"/>
      <c r="Z753" s="167"/>
    </row>
    <row r="754" spans="5:26" ht="12.75" customHeight="1">
      <c r="E754" s="264"/>
      <c r="F754" s="264"/>
      <c r="O754" s="149"/>
      <c r="P754" s="149"/>
      <c r="V754" s="167"/>
      <c r="W754" s="167"/>
      <c r="X754" s="167"/>
      <c r="Y754" s="167"/>
      <c r="Z754" s="167"/>
    </row>
    <row r="755" spans="5:26" ht="12.75" customHeight="1">
      <c r="E755" s="264"/>
      <c r="F755" s="264"/>
      <c r="O755" s="149"/>
      <c r="P755" s="149"/>
      <c r="V755" s="167"/>
      <c r="W755" s="167"/>
      <c r="X755" s="167"/>
      <c r="Y755" s="167"/>
      <c r="Z755" s="167"/>
    </row>
    <row r="756" spans="5:26" ht="12.75" customHeight="1">
      <c r="E756" s="264"/>
      <c r="F756" s="264"/>
      <c r="O756" s="149"/>
      <c r="P756" s="149"/>
      <c r="V756" s="167"/>
      <c r="W756" s="167"/>
      <c r="X756" s="167"/>
      <c r="Y756" s="167"/>
      <c r="Z756" s="167"/>
    </row>
    <row r="757" spans="5:26" ht="12.75" customHeight="1">
      <c r="E757" s="264"/>
      <c r="F757" s="264"/>
      <c r="O757" s="149"/>
      <c r="P757" s="149"/>
      <c r="V757" s="167"/>
      <c r="W757" s="167"/>
      <c r="X757" s="167"/>
      <c r="Y757" s="167"/>
      <c r="Z757" s="167"/>
    </row>
    <row r="758" spans="5:26" ht="12.75" customHeight="1">
      <c r="E758" s="264"/>
      <c r="F758" s="264"/>
      <c r="O758" s="149"/>
      <c r="P758" s="149"/>
      <c r="V758" s="167"/>
      <c r="W758" s="167"/>
      <c r="X758" s="167"/>
      <c r="Y758" s="167"/>
      <c r="Z758" s="167"/>
    </row>
    <row r="759" spans="5:26" ht="12.75" customHeight="1">
      <c r="E759" s="264"/>
      <c r="F759" s="264"/>
      <c r="O759" s="149"/>
      <c r="P759" s="149"/>
      <c r="V759" s="167"/>
      <c r="W759" s="167"/>
      <c r="X759" s="167"/>
      <c r="Y759" s="167"/>
      <c r="Z759" s="167"/>
    </row>
    <row r="760" spans="5:26" ht="12.75" customHeight="1">
      <c r="E760" s="264"/>
      <c r="F760" s="264"/>
      <c r="O760" s="149"/>
      <c r="P760" s="149"/>
      <c r="V760" s="167"/>
      <c r="W760" s="167"/>
      <c r="X760" s="167"/>
      <c r="Y760" s="167"/>
      <c r="Z760" s="167"/>
    </row>
    <row r="761" spans="5:26" ht="12.75" customHeight="1">
      <c r="E761" s="264"/>
      <c r="F761" s="264"/>
      <c r="O761" s="149"/>
      <c r="P761" s="149"/>
      <c r="V761" s="167"/>
      <c r="W761" s="167"/>
      <c r="X761" s="167"/>
      <c r="Y761" s="167"/>
      <c r="Z761" s="167"/>
    </row>
    <row r="762" spans="5:26" ht="12.75" customHeight="1">
      <c r="E762" s="264"/>
      <c r="F762" s="264"/>
      <c r="O762" s="149"/>
      <c r="P762" s="149"/>
      <c r="V762" s="167"/>
      <c r="W762" s="167"/>
      <c r="X762" s="167"/>
      <c r="Y762" s="167"/>
      <c r="Z762" s="167"/>
    </row>
    <row r="763" spans="5:26" ht="12.75" customHeight="1">
      <c r="E763" s="264"/>
      <c r="F763" s="264"/>
      <c r="O763" s="149"/>
      <c r="P763" s="149"/>
      <c r="V763" s="167"/>
      <c r="W763" s="167"/>
      <c r="X763" s="167"/>
      <c r="Y763" s="167"/>
      <c r="Z763" s="167"/>
    </row>
    <row r="764" spans="5:26" ht="12.75" customHeight="1">
      <c r="E764" s="264"/>
      <c r="F764" s="264"/>
      <c r="O764" s="149"/>
      <c r="P764" s="149"/>
      <c r="V764" s="167"/>
      <c r="W764" s="167"/>
      <c r="X764" s="167"/>
      <c r="Y764" s="167"/>
      <c r="Z764" s="167"/>
    </row>
    <row r="765" spans="5:26" ht="12.75" customHeight="1">
      <c r="E765" s="264"/>
      <c r="F765" s="264"/>
      <c r="O765" s="149"/>
      <c r="P765" s="149"/>
      <c r="V765" s="167"/>
      <c r="W765" s="167"/>
      <c r="X765" s="167"/>
      <c r="Y765" s="167"/>
      <c r="Z765" s="167"/>
    </row>
    <row r="766" spans="5:26" ht="12.75" customHeight="1">
      <c r="E766" s="264"/>
      <c r="F766" s="264"/>
      <c r="O766" s="149"/>
      <c r="P766" s="149"/>
      <c r="V766" s="167"/>
      <c r="W766" s="167"/>
      <c r="X766" s="167"/>
      <c r="Y766" s="167"/>
      <c r="Z766" s="167"/>
    </row>
    <row r="767" spans="5:26" ht="12.75" customHeight="1">
      <c r="E767" s="264"/>
      <c r="F767" s="264"/>
      <c r="O767" s="149"/>
      <c r="P767" s="149"/>
      <c r="V767" s="167"/>
      <c r="W767" s="167"/>
      <c r="X767" s="167"/>
      <c r="Y767" s="167"/>
      <c r="Z767" s="167"/>
    </row>
    <row r="768" spans="5:26" ht="12.75" customHeight="1">
      <c r="E768" s="264"/>
      <c r="F768" s="264"/>
      <c r="O768" s="149"/>
      <c r="P768" s="149"/>
      <c r="V768" s="167"/>
      <c r="W768" s="167"/>
      <c r="X768" s="167"/>
      <c r="Y768" s="167"/>
      <c r="Z768" s="167"/>
    </row>
    <row r="769" spans="5:26" ht="12.75" customHeight="1">
      <c r="E769" s="264"/>
      <c r="F769" s="264"/>
      <c r="O769" s="149"/>
      <c r="P769" s="149"/>
      <c r="V769" s="167"/>
      <c r="W769" s="167"/>
      <c r="X769" s="167"/>
      <c r="Y769" s="167"/>
      <c r="Z769" s="167"/>
    </row>
    <row r="770" spans="5:26" ht="12.75" customHeight="1">
      <c r="E770" s="264"/>
      <c r="F770" s="264"/>
      <c r="O770" s="149"/>
      <c r="P770" s="149"/>
      <c r="V770" s="167"/>
      <c r="W770" s="167"/>
      <c r="X770" s="167"/>
      <c r="Y770" s="167"/>
      <c r="Z770" s="167"/>
    </row>
    <row r="771" spans="5:26" ht="12.75" customHeight="1">
      <c r="E771" s="264"/>
      <c r="F771" s="264"/>
      <c r="O771" s="149"/>
      <c r="P771" s="149"/>
      <c r="V771" s="167"/>
      <c r="W771" s="167"/>
      <c r="X771" s="167"/>
      <c r="Y771" s="167"/>
      <c r="Z771" s="167"/>
    </row>
    <row r="772" spans="5:26" ht="12.75" customHeight="1">
      <c r="E772" s="264"/>
      <c r="F772" s="264"/>
      <c r="O772" s="149"/>
      <c r="P772" s="149"/>
      <c r="V772" s="167"/>
      <c r="W772" s="167"/>
      <c r="X772" s="167"/>
      <c r="Y772" s="167"/>
      <c r="Z772" s="167"/>
    </row>
    <row r="773" spans="5:26" ht="12.75" customHeight="1">
      <c r="E773" s="264"/>
      <c r="F773" s="264"/>
      <c r="O773" s="149"/>
      <c r="P773" s="149"/>
      <c r="V773" s="167"/>
      <c r="W773" s="167"/>
      <c r="X773" s="167"/>
      <c r="Y773" s="167"/>
      <c r="Z773" s="167"/>
    </row>
    <row r="774" spans="5:26" ht="12.75" customHeight="1">
      <c r="E774" s="264"/>
      <c r="F774" s="264"/>
      <c r="O774" s="149"/>
      <c r="P774" s="149"/>
      <c r="V774" s="167"/>
      <c r="W774" s="167"/>
      <c r="X774" s="167"/>
      <c r="Y774" s="167"/>
      <c r="Z774" s="167"/>
    </row>
    <row r="775" spans="5:26" ht="12.75" customHeight="1">
      <c r="E775" s="264"/>
      <c r="F775" s="264"/>
      <c r="O775" s="149"/>
      <c r="P775" s="149"/>
      <c r="V775" s="167"/>
      <c r="W775" s="167"/>
      <c r="X775" s="167"/>
      <c r="Y775" s="167"/>
      <c r="Z775" s="167"/>
    </row>
    <row r="776" spans="5:26" ht="12.75" customHeight="1">
      <c r="E776" s="264"/>
      <c r="F776" s="264"/>
      <c r="O776" s="149"/>
      <c r="P776" s="149"/>
      <c r="V776" s="167"/>
      <c r="W776" s="167"/>
      <c r="X776" s="167"/>
      <c r="Y776" s="167"/>
      <c r="Z776" s="167"/>
    </row>
    <row r="777" spans="5:26" ht="12.75" customHeight="1">
      <c r="E777" s="264"/>
      <c r="F777" s="264"/>
      <c r="O777" s="149"/>
      <c r="P777" s="149"/>
      <c r="V777" s="167"/>
      <c r="W777" s="167"/>
      <c r="X777" s="167"/>
      <c r="Y777" s="167"/>
      <c r="Z777" s="167"/>
    </row>
    <row r="778" spans="5:26" ht="12.75" customHeight="1">
      <c r="E778" s="264"/>
      <c r="F778" s="264"/>
      <c r="O778" s="149"/>
      <c r="P778" s="149"/>
      <c r="V778" s="167"/>
      <c r="W778" s="167"/>
      <c r="X778" s="167"/>
      <c r="Y778" s="167"/>
      <c r="Z778" s="167"/>
    </row>
    <row r="779" spans="5:26" ht="12.75" customHeight="1">
      <c r="E779" s="264"/>
      <c r="F779" s="264"/>
      <c r="O779" s="149"/>
      <c r="P779" s="149"/>
      <c r="V779" s="167"/>
      <c r="W779" s="167"/>
      <c r="X779" s="167"/>
      <c r="Y779" s="167"/>
      <c r="Z779" s="167"/>
    </row>
    <row r="780" spans="5:26" ht="12.75" customHeight="1">
      <c r="E780" s="264"/>
      <c r="F780" s="264"/>
      <c r="O780" s="149"/>
      <c r="P780" s="149"/>
      <c r="V780" s="167"/>
      <c r="W780" s="167"/>
      <c r="X780" s="167"/>
      <c r="Y780" s="167"/>
      <c r="Z780" s="167"/>
    </row>
    <row r="781" spans="5:26" ht="12.75" customHeight="1">
      <c r="E781" s="264"/>
      <c r="F781" s="264"/>
      <c r="O781" s="149"/>
      <c r="P781" s="149"/>
      <c r="V781" s="167"/>
      <c r="W781" s="167"/>
      <c r="X781" s="167"/>
      <c r="Y781" s="167"/>
      <c r="Z781" s="167"/>
    </row>
    <row r="782" spans="5:26" ht="12.75" customHeight="1">
      <c r="E782" s="264"/>
      <c r="F782" s="264"/>
      <c r="O782" s="149"/>
      <c r="P782" s="149"/>
      <c r="V782" s="167"/>
      <c r="W782" s="167"/>
      <c r="X782" s="167"/>
      <c r="Y782" s="167"/>
      <c r="Z782" s="167"/>
    </row>
    <row r="783" spans="5:26" ht="12.75" customHeight="1">
      <c r="E783" s="264"/>
      <c r="F783" s="264"/>
      <c r="O783" s="149"/>
      <c r="P783" s="149"/>
      <c r="V783" s="167"/>
      <c r="W783" s="167"/>
      <c r="X783" s="167"/>
      <c r="Y783" s="167"/>
      <c r="Z783" s="167"/>
    </row>
    <row r="784" spans="5:26" ht="12.75" customHeight="1">
      <c r="E784" s="264"/>
      <c r="F784" s="264"/>
      <c r="O784" s="149"/>
      <c r="P784" s="149"/>
      <c r="V784" s="167"/>
      <c r="W784" s="167"/>
      <c r="X784" s="167"/>
      <c r="Y784" s="167"/>
      <c r="Z784" s="167"/>
    </row>
    <row r="785" spans="5:26" ht="12.75" customHeight="1">
      <c r="E785" s="264"/>
      <c r="F785" s="264"/>
      <c r="O785" s="149"/>
      <c r="P785" s="149"/>
      <c r="V785" s="167"/>
      <c r="W785" s="167"/>
      <c r="X785" s="167"/>
      <c r="Y785" s="167"/>
      <c r="Z785" s="167"/>
    </row>
    <row r="786" spans="5:26" ht="12.75" customHeight="1">
      <c r="E786" s="264"/>
      <c r="F786" s="264"/>
      <c r="O786" s="149"/>
      <c r="P786" s="149"/>
      <c r="V786" s="167"/>
      <c r="W786" s="167"/>
      <c r="X786" s="167"/>
      <c r="Y786" s="167"/>
      <c r="Z786" s="167"/>
    </row>
    <row r="787" spans="5:26" ht="12.75" customHeight="1">
      <c r="E787" s="264"/>
      <c r="F787" s="264"/>
      <c r="O787" s="149"/>
      <c r="P787" s="149"/>
      <c r="V787" s="167"/>
      <c r="W787" s="167"/>
      <c r="X787" s="167"/>
      <c r="Y787" s="167"/>
      <c r="Z787" s="167"/>
    </row>
    <row r="788" spans="5:26" ht="12.75" customHeight="1">
      <c r="E788" s="264"/>
      <c r="F788" s="264"/>
      <c r="O788" s="149"/>
      <c r="P788" s="149"/>
      <c r="V788" s="167"/>
      <c r="W788" s="167"/>
      <c r="X788" s="167"/>
      <c r="Y788" s="167"/>
      <c r="Z788" s="167"/>
    </row>
    <row r="789" spans="5:26" ht="12.75" customHeight="1">
      <c r="E789" s="264"/>
      <c r="F789" s="264"/>
      <c r="O789" s="149"/>
      <c r="P789" s="149"/>
      <c r="V789" s="167"/>
      <c r="W789" s="167"/>
      <c r="X789" s="167"/>
      <c r="Y789" s="167"/>
      <c r="Z789" s="167"/>
    </row>
    <row r="790" spans="5:26" ht="12.75" customHeight="1">
      <c r="E790" s="264"/>
      <c r="F790" s="264"/>
      <c r="O790" s="149"/>
      <c r="P790" s="149"/>
      <c r="V790" s="167"/>
      <c r="W790" s="167"/>
      <c r="X790" s="167"/>
      <c r="Y790" s="167"/>
      <c r="Z790" s="167"/>
    </row>
    <row r="791" spans="5:26" ht="12.75" customHeight="1">
      <c r="E791" s="264"/>
      <c r="F791" s="264"/>
      <c r="O791" s="149"/>
      <c r="P791" s="149"/>
      <c r="V791" s="167"/>
      <c r="W791" s="167"/>
      <c r="X791" s="167"/>
      <c r="Y791" s="167"/>
      <c r="Z791" s="167"/>
    </row>
    <row r="792" spans="5:26" ht="12.75" customHeight="1">
      <c r="E792" s="264"/>
      <c r="F792" s="264"/>
      <c r="O792" s="149"/>
      <c r="P792" s="149"/>
      <c r="V792" s="167"/>
      <c r="W792" s="167"/>
      <c r="X792" s="167"/>
      <c r="Y792" s="167"/>
      <c r="Z792" s="167"/>
    </row>
    <row r="793" spans="5:26" ht="12.75" customHeight="1">
      <c r="E793" s="264"/>
      <c r="F793" s="264"/>
      <c r="O793" s="149"/>
      <c r="P793" s="149"/>
      <c r="V793" s="167"/>
      <c r="W793" s="167"/>
      <c r="X793" s="167"/>
      <c r="Y793" s="167"/>
      <c r="Z793" s="167"/>
    </row>
    <row r="794" spans="5:26" ht="12.75" customHeight="1">
      <c r="E794" s="264"/>
      <c r="F794" s="264"/>
      <c r="O794" s="149"/>
      <c r="P794" s="149"/>
      <c r="V794" s="167"/>
      <c r="W794" s="167"/>
      <c r="X794" s="167"/>
      <c r="Y794" s="167"/>
      <c r="Z794" s="167"/>
    </row>
    <row r="795" spans="5:26" ht="12.75" customHeight="1">
      <c r="E795" s="264"/>
      <c r="F795" s="264"/>
      <c r="O795" s="149"/>
      <c r="P795" s="149"/>
      <c r="V795" s="167"/>
      <c r="W795" s="167"/>
      <c r="X795" s="167"/>
      <c r="Y795" s="167"/>
      <c r="Z795" s="167"/>
    </row>
    <row r="796" spans="5:26" ht="12.75" customHeight="1">
      <c r="E796" s="264"/>
      <c r="F796" s="264"/>
      <c r="O796" s="149"/>
      <c r="P796" s="149"/>
      <c r="V796" s="167"/>
      <c r="W796" s="167"/>
      <c r="X796" s="167"/>
      <c r="Y796" s="167"/>
      <c r="Z796" s="167"/>
    </row>
    <row r="797" spans="5:26" ht="12.75" customHeight="1">
      <c r="E797" s="264"/>
      <c r="F797" s="264"/>
      <c r="O797" s="149"/>
      <c r="P797" s="149"/>
      <c r="V797" s="167"/>
      <c r="W797" s="167"/>
      <c r="X797" s="167"/>
      <c r="Y797" s="167"/>
      <c r="Z797" s="167"/>
    </row>
    <row r="798" spans="5:26" ht="12.75" customHeight="1">
      <c r="E798" s="264"/>
      <c r="F798" s="264"/>
      <c r="O798" s="149"/>
      <c r="P798" s="149"/>
      <c r="V798" s="167"/>
      <c r="W798" s="167"/>
      <c r="X798" s="167"/>
      <c r="Y798" s="167"/>
      <c r="Z798" s="167"/>
    </row>
    <row r="799" spans="5:26" ht="12.75" customHeight="1">
      <c r="E799" s="264"/>
      <c r="F799" s="264"/>
      <c r="O799" s="149"/>
      <c r="P799" s="149"/>
      <c r="V799" s="167"/>
      <c r="W799" s="167"/>
      <c r="X799" s="167"/>
      <c r="Y799" s="167"/>
      <c r="Z799" s="167"/>
    </row>
    <row r="800" spans="5:26" ht="12.75" customHeight="1">
      <c r="E800" s="264"/>
      <c r="F800" s="264"/>
      <c r="O800" s="149"/>
      <c r="P800" s="149"/>
      <c r="V800" s="167"/>
      <c r="W800" s="167"/>
      <c r="X800" s="167"/>
      <c r="Y800" s="167"/>
      <c r="Z800" s="167"/>
    </row>
    <row r="801" spans="5:26" ht="12.75" customHeight="1">
      <c r="E801" s="264"/>
      <c r="F801" s="264"/>
      <c r="O801" s="149"/>
      <c r="P801" s="149"/>
      <c r="V801" s="167"/>
      <c r="W801" s="167"/>
      <c r="X801" s="167"/>
      <c r="Y801" s="167"/>
      <c r="Z801" s="167"/>
    </row>
    <row r="802" spans="5:26" ht="12.75" customHeight="1">
      <c r="E802" s="264"/>
      <c r="F802" s="264"/>
      <c r="O802" s="149"/>
      <c r="P802" s="149"/>
      <c r="V802" s="167"/>
      <c r="W802" s="167"/>
      <c r="X802" s="167"/>
      <c r="Y802" s="167"/>
      <c r="Z802" s="167"/>
    </row>
    <row r="803" spans="5:26" ht="12.75" customHeight="1">
      <c r="E803" s="264"/>
      <c r="F803" s="264"/>
      <c r="O803" s="149"/>
      <c r="P803" s="149"/>
      <c r="V803" s="167"/>
      <c r="W803" s="167"/>
      <c r="X803" s="167"/>
      <c r="Y803" s="167"/>
      <c r="Z803" s="167"/>
    </row>
    <row r="804" spans="5:26" ht="12.75" customHeight="1">
      <c r="E804" s="264"/>
      <c r="F804" s="264"/>
      <c r="O804" s="149"/>
      <c r="P804" s="149"/>
      <c r="V804" s="167"/>
      <c r="W804" s="167"/>
      <c r="X804" s="167"/>
      <c r="Y804" s="167"/>
      <c r="Z804" s="167"/>
    </row>
    <row r="805" spans="5:26" ht="12.75" customHeight="1">
      <c r="E805" s="264"/>
      <c r="F805" s="264"/>
      <c r="O805" s="149"/>
      <c r="P805" s="149"/>
      <c r="V805" s="167"/>
      <c r="W805" s="167"/>
      <c r="X805" s="167"/>
      <c r="Y805" s="167"/>
      <c r="Z805" s="167"/>
    </row>
    <row r="806" spans="5:26" ht="12.75" customHeight="1">
      <c r="E806" s="264"/>
      <c r="F806" s="264"/>
      <c r="O806" s="149"/>
      <c r="P806" s="149"/>
      <c r="V806" s="167"/>
      <c r="W806" s="167"/>
      <c r="X806" s="167"/>
      <c r="Y806" s="167"/>
      <c r="Z806" s="167"/>
    </row>
    <row r="807" spans="5:26" ht="12.75" customHeight="1">
      <c r="E807" s="264"/>
      <c r="F807" s="264"/>
      <c r="O807" s="149"/>
      <c r="P807" s="149"/>
      <c r="V807" s="167"/>
      <c r="W807" s="167"/>
      <c r="X807" s="167"/>
      <c r="Y807" s="167"/>
      <c r="Z807" s="167"/>
    </row>
    <row r="808" spans="5:26" ht="12.75" customHeight="1">
      <c r="E808" s="264"/>
      <c r="F808" s="264"/>
      <c r="O808" s="149"/>
      <c r="P808" s="149"/>
      <c r="V808" s="167"/>
      <c r="W808" s="167"/>
      <c r="X808" s="167"/>
      <c r="Y808" s="167"/>
      <c r="Z808" s="167"/>
    </row>
    <row r="809" spans="5:26" ht="12.75" customHeight="1">
      <c r="E809" s="264"/>
      <c r="F809" s="264"/>
      <c r="O809" s="149"/>
      <c r="P809" s="149"/>
      <c r="V809" s="167"/>
      <c r="W809" s="167"/>
      <c r="X809" s="167"/>
      <c r="Y809" s="167"/>
      <c r="Z809" s="167"/>
    </row>
    <row r="810" spans="5:26" ht="12.75" customHeight="1">
      <c r="E810" s="264"/>
      <c r="F810" s="264"/>
      <c r="O810" s="149"/>
      <c r="P810" s="149"/>
      <c r="V810" s="167"/>
      <c r="W810" s="167"/>
      <c r="X810" s="167"/>
      <c r="Y810" s="167"/>
      <c r="Z810" s="167"/>
    </row>
    <row r="811" spans="5:26" ht="12.75" customHeight="1">
      <c r="E811" s="264"/>
      <c r="F811" s="264"/>
      <c r="O811" s="149"/>
      <c r="P811" s="149"/>
      <c r="V811" s="167"/>
      <c r="W811" s="167"/>
      <c r="X811" s="167"/>
      <c r="Y811" s="167"/>
      <c r="Z811" s="167"/>
    </row>
    <row r="812" spans="5:26" ht="12.75" customHeight="1">
      <c r="E812" s="264"/>
      <c r="F812" s="264"/>
      <c r="O812" s="149"/>
      <c r="P812" s="149"/>
      <c r="V812" s="167"/>
      <c r="W812" s="167"/>
      <c r="X812" s="167"/>
      <c r="Y812" s="167"/>
      <c r="Z812" s="167"/>
    </row>
    <row r="813" spans="5:26" ht="12.75" customHeight="1">
      <c r="E813" s="264"/>
      <c r="F813" s="264"/>
      <c r="O813" s="149"/>
      <c r="P813" s="149"/>
      <c r="V813" s="167"/>
      <c r="W813" s="167"/>
      <c r="X813" s="167"/>
      <c r="Y813" s="167"/>
      <c r="Z813" s="167"/>
    </row>
    <row r="814" spans="5:26" ht="12.75" customHeight="1">
      <c r="E814" s="264"/>
      <c r="F814" s="264"/>
      <c r="O814" s="149"/>
      <c r="P814" s="149"/>
      <c r="V814" s="167"/>
      <c r="W814" s="167"/>
      <c r="X814" s="167"/>
      <c r="Y814" s="167"/>
      <c r="Z814" s="167"/>
    </row>
    <row r="815" spans="5:26" ht="12.75" customHeight="1">
      <c r="E815" s="264"/>
      <c r="F815" s="264"/>
      <c r="O815" s="149"/>
      <c r="P815" s="149"/>
      <c r="V815" s="167"/>
      <c r="W815" s="167"/>
      <c r="X815" s="167"/>
      <c r="Y815" s="167"/>
      <c r="Z815" s="167"/>
    </row>
    <row r="816" spans="5:26" ht="12.75" customHeight="1">
      <c r="E816" s="264"/>
      <c r="F816" s="264"/>
      <c r="O816" s="149"/>
      <c r="P816" s="149"/>
      <c r="V816" s="167"/>
      <c r="W816" s="167"/>
      <c r="X816" s="167"/>
      <c r="Y816" s="167"/>
      <c r="Z816" s="167"/>
    </row>
    <row r="817" spans="5:26" ht="12.75" customHeight="1">
      <c r="E817" s="264"/>
      <c r="F817" s="264"/>
      <c r="O817" s="149"/>
      <c r="P817" s="149"/>
      <c r="V817" s="167"/>
      <c r="W817" s="167"/>
      <c r="X817" s="167"/>
      <c r="Y817" s="167"/>
      <c r="Z817" s="167"/>
    </row>
    <row r="818" spans="5:26" ht="12.75" customHeight="1">
      <c r="E818" s="264"/>
      <c r="F818" s="264"/>
      <c r="O818" s="149"/>
      <c r="P818" s="149"/>
      <c r="V818" s="167"/>
      <c r="W818" s="167"/>
      <c r="X818" s="167"/>
      <c r="Y818" s="167"/>
      <c r="Z818" s="167"/>
    </row>
    <row r="819" spans="5:26" ht="12.75" customHeight="1">
      <c r="E819" s="264"/>
      <c r="F819" s="264"/>
      <c r="O819" s="149"/>
      <c r="P819" s="149"/>
      <c r="V819" s="167"/>
      <c r="W819" s="167"/>
      <c r="X819" s="167"/>
      <c r="Y819" s="167"/>
      <c r="Z819" s="167"/>
    </row>
    <row r="820" spans="5:26" ht="12.75" customHeight="1">
      <c r="E820" s="264"/>
      <c r="F820" s="264"/>
      <c r="O820" s="149"/>
      <c r="P820" s="149"/>
      <c r="V820" s="167"/>
      <c r="W820" s="167"/>
      <c r="X820" s="167"/>
      <c r="Y820" s="167"/>
      <c r="Z820" s="167"/>
    </row>
    <row r="821" spans="5:26" ht="12.75" customHeight="1">
      <c r="E821" s="264"/>
      <c r="F821" s="264"/>
      <c r="O821" s="149"/>
      <c r="P821" s="149"/>
      <c r="V821" s="167"/>
      <c r="W821" s="167"/>
      <c r="X821" s="167"/>
      <c r="Y821" s="167"/>
      <c r="Z821" s="167"/>
    </row>
    <row r="822" spans="5:26" ht="12.75" customHeight="1">
      <c r="E822" s="264"/>
      <c r="F822" s="264"/>
      <c r="O822" s="149"/>
      <c r="P822" s="149"/>
      <c r="V822" s="167"/>
      <c r="W822" s="167"/>
      <c r="X822" s="167"/>
      <c r="Y822" s="167"/>
      <c r="Z822" s="167"/>
    </row>
    <row r="823" spans="5:26" ht="12.75" customHeight="1">
      <c r="E823" s="264"/>
      <c r="F823" s="264"/>
      <c r="O823" s="149"/>
      <c r="P823" s="149"/>
      <c r="V823" s="167"/>
      <c r="W823" s="167"/>
      <c r="X823" s="167"/>
      <c r="Y823" s="167"/>
      <c r="Z823" s="167"/>
    </row>
    <row r="824" spans="5:26" ht="12.75" customHeight="1">
      <c r="E824" s="264"/>
      <c r="F824" s="264"/>
      <c r="O824" s="149"/>
      <c r="P824" s="149"/>
      <c r="V824" s="167"/>
      <c r="W824" s="167"/>
      <c r="X824" s="167"/>
      <c r="Y824" s="167"/>
      <c r="Z824" s="167"/>
    </row>
    <row r="825" spans="5:26" ht="12.75" customHeight="1">
      <c r="E825" s="264"/>
      <c r="F825" s="264"/>
      <c r="O825" s="149"/>
      <c r="P825" s="149"/>
      <c r="V825" s="167"/>
      <c r="W825" s="167"/>
      <c r="X825" s="167"/>
      <c r="Y825" s="167"/>
      <c r="Z825" s="167"/>
    </row>
    <row r="826" spans="5:26" ht="12.75" customHeight="1">
      <c r="E826" s="264"/>
      <c r="F826" s="264"/>
      <c r="O826" s="149"/>
      <c r="P826" s="149"/>
      <c r="V826" s="167"/>
      <c r="W826" s="167"/>
      <c r="X826" s="167"/>
      <c r="Y826" s="167"/>
      <c r="Z826" s="167"/>
    </row>
    <row r="827" spans="5:26" ht="12.75" customHeight="1">
      <c r="E827" s="264"/>
      <c r="F827" s="264"/>
      <c r="O827" s="149"/>
      <c r="P827" s="149"/>
      <c r="V827" s="167"/>
      <c r="W827" s="167"/>
      <c r="X827" s="167"/>
      <c r="Y827" s="167"/>
      <c r="Z827" s="167"/>
    </row>
    <row r="828" spans="5:26" ht="12.75" customHeight="1">
      <c r="E828" s="264"/>
      <c r="F828" s="264"/>
      <c r="O828" s="149"/>
      <c r="P828" s="149"/>
      <c r="V828" s="167"/>
      <c r="W828" s="167"/>
      <c r="X828" s="167"/>
      <c r="Y828" s="167"/>
      <c r="Z828" s="167"/>
    </row>
    <row r="829" spans="5:26" ht="12.75" customHeight="1">
      <c r="E829" s="264"/>
      <c r="F829" s="264"/>
      <c r="O829" s="149"/>
      <c r="P829" s="149"/>
      <c r="V829" s="167"/>
      <c r="W829" s="167"/>
      <c r="X829" s="167"/>
      <c r="Y829" s="167"/>
      <c r="Z829" s="167"/>
    </row>
    <row r="830" spans="5:26" ht="12.75" customHeight="1">
      <c r="E830" s="264"/>
      <c r="F830" s="264"/>
      <c r="O830" s="149"/>
      <c r="P830" s="149"/>
      <c r="V830" s="167"/>
      <c r="W830" s="167"/>
      <c r="X830" s="167"/>
      <c r="Y830" s="167"/>
      <c r="Z830" s="167"/>
    </row>
    <row r="831" spans="5:26" ht="12.75" customHeight="1">
      <c r="E831" s="264"/>
      <c r="F831" s="264"/>
      <c r="O831" s="149"/>
      <c r="P831" s="149"/>
      <c r="V831" s="167"/>
      <c r="W831" s="167"/>
      <c r="X831" s="167"/>
      <c r="Y831" s="167"/>
      <c r="Z831" s="167"/>
    </row>
    <row r="832" spans="5:26" ht="12.75" customHeight="1">
      <c r="E832" s="264"/>
      <c r="F832" s="264"/>
      <c r="O832" s="149"/>
      <c r="P832" s="149"/>
      <c r="V832" s="167"/>
      <c r="W832" s="167"/>
      <c r="X832" s="167"/>
      <c r="Y832" s="167"/>
      <c r="Z832" s="167"/>
    </row>
    <row r="833" spans="5:26" ht="12.75" customHeight="1">
      <c r="E833" s="264"/>
      <c r="F833" s="264"/>
      <c r="O833" s="149"/>
      <c r="P833" s="149"/>
      <c r="V833" s="167"/>
      <c r="W833" s="167"/>
      <c r="X833" s="167"/>
      <c r="Y833" s="167"/>
      <c r="Z833" s="167"/>
    </row>
    <row r="834" spans="5:26" ht="12.75" customHeight="1">
      <c r="E834" s="264"/>
      <c r="F834" s="264"/>
      <c r="O834" s="149"/>
      <c r="P834" s="149"/>
      <c r="V834" s="167"/>
      <c r="W834" s="167"/>
      <c r="X834" s="167"/>
      <c r="Y834" s="167"/>
      <c r="Z834" s="167"/>
    </row>
    <row r="835" spans="5:26" ht="12.75" customHeight="1">
      <c r="E835" s="264"/>
      <c r="F835" s="264"/>
      <c r="O835" s="149"/>
      <c r="P835" s="149"/>
      <c r="V835" s="167"/>
      <c r="W835" s="167"/>
      <c r="X835" s="167"/>
      <c r="Y835" s="167"/>
      <c r="Z835" s="167"/>
    </row>
    <row r="836" spans="5:26" ht="12.75" customHeight="1">
      <c r="E836" s="264"/>
      <c r="F836" s="264"/>
      <c r="O836" s="149"/>
      <c r="P836" s="149"/>
      <c r="V836" s="167"/>
      <c r="W836" s="167"/>
      <c r="X836" s="167"/>
      <c r="Y836" s="167"/>
      <c r="Z836" s="167"/>
    </row>
    <row r="837" spans="5:26" ht="12.75" customHeight="1">
      <c r="E837" s="264"/>
      <c r="F837" s="264"/>
      <c r="O837" s="149"/>
      <c r="P837" s="149"/>
      <c r="V837" s="167"/>
      <c r="W837" s="167"/>
      <c r="X837" s="167"/>
      <c r="Y837" s="167"/>
      <c r="Z837" s="167"/>
    </row>
    <row r="838" spans="5:26" ht="12.75" customHeight="1">
      <c r="E838" s="264"/>
      <c r="F838" s="264"/>
      <c r="O838" s="149"/>
      <c r="P838" s="149"/>
      <c r="V838" s="167"/>
      <c r="W838" s="167"/>
      <c r="X838" s="167"/>
      <c r="Y838" s="167"/>
      <c r="Z838" s="167"/>
    </row>
    <row r="839" spans="5:26" ht="12.75" customHeight="1">
      <c r="E839" s="264"/>
      <c r="F839" s="264"/>
      <c r="O839" s="149"/>
      <c r="P839" s="149"/>
      <c r="V839" s="167"/>
      <c r="W839" s="167"/>
      <c r="X839" s="167"/>
      <c r="Y839" s="167"/>
      <c r="Z839" s="167"/>
    </row>
    <row r="840" spans="5:26" ht="12.75" customHeight="1">
      <c r="E840" s="264"/>
      <c r="F840" s="264"/>
      <c r="O840" s="149"/>
      <c r="P840" s="149"/>
      <c r="V840" s="167"/>
      <c r="W840" s="167"/>
      <c r="X840" s="167"/>
      <c r="Y840" s="167"/>
      <c r="Z840" s="167"/>
    </row>
    <row r="841" spans="5:26" ht="12.75" customHeight="1">
      <c r="E841" s="264"/>
      <c r="F841" s="264"/>
      <c r="O841" s="149"/>
      <c r="P841" s="149"/>
      <c r="V841" s="167"/>
      <c r="W841" s="167"/>
      <c r="X841" s="167"/>
      <c r="Y841" s="167"/>
      <c r="Z841" s="167"/>
    </row>
    <row r="842" spans="5:26" ht="12.75" customHeight="1">
      <c r="E842" s="264"/>
      <c r="F842" s="264"/>
      <c r="O842" s="149"/>
      <c r="P842" s="149"/>
      <c r="V842" s="167"/>
      <c r="W842" s="167"/>
      <c r="X842" s="167"/>
      <c r="Y842" s="167"/>
      <c r="Z842" s="167"/>
    </row>
    <row r="843" spans="5:26" ht="12.75" customHeight="1">
      <c r="E843" s="264"/>
      <c r="F843" s="264"/>
      <c r="O843" s="149"/>
      <c r="P843" s="149"/>
      <c r="V843" s="167"/>
      <c r="W843" s="167"/>
      <c r="X843" s="167"/>
      <c r="Y843" s="167"/>
      <c r="Z843" s="167"/>
    </row>
    <row r="844" spans="5:26" ht="12.75" customHeight="1">
      <c r="E844" s="264"/>
      <c r="F844" s="264"/>
      <c r="O844" s="149"/>
      <c r="P844" s="149"/>
      <c r="V844" s="167"/>
      <c r="W844" s="167"/>
      <c r="X844" s="167"/>
      <c r="Y844" s="167"/>
      <c r="Z844" s="167"/>
    </row>
    <row r="845" spans="5:26" ht="12.75" customHeight="1">
      <c r="E845" s="264"/>
      <c r="F845" s="264"/>
      <c r="O845" s="149"/>
      <c r="P845" s="149"/>
      <c r="V845" s="167"/>
      <c r="W845" s="167"/>
      <c r="X845" s="167"/>
      <c r="Y845" s="167"/>
      <c r="Z845" s="167"/>
    </row>
    <row r="846" spans="5:26" ht="12.75" customHeight="1">
      <c r="E846" s="264"/>
      <c r="F846" s="264"/>
      <c r="O846" s="149"/>
      <c r="P846" s="149"/>
      <c r="V846" s="167"/>
      <c r="W846" s="167"/>
      <c r="X846" s="167"/>
      <c r="Y846" s="167"/>
      <c r="Z846" s="167"/>
    </row>
    <row r="847" spans="5:26" ht="12.75" customHeight="1">
      <c r="E847" s="264"/>
      <c r="F847" s="264"/>
      <c r="O847" s="149"/>
      <c r="P847" s="149"/>
      <c r="V847" s="167"/>
      <c r="W847" s="167"/>
      <c r="X847" s="167"/>
      <c r="Y847" s="167"/>
      <c r="Z847" s="167"/>
    </row>
    <row r="848" spans="5:26" ht="12.75" customHeight="1">
      <c r="E848" s="264"/>
      <c r="F848" s="264"/>
      <c r="O848" s="149"/>
      <c r="P848" s="149"/>
      <c r="V848" s="167"/>
      <c r="W848" s="167"/>
      <c r="X848" s="167"/>
      <c r="Y848" s="167"/>
      <c r="Z848" s="167"/>
    </row>
    <row r="849" spans="5:26" ht="12.75" customHeight="1">
      <c r="E849" s="264"/>
      <c r="F849" s="264"/>
      <c r="O849" s="149"/>
      <c r="P849" s="149"/>
      <c r="V849" s="167"/>
      <c r="W849" s="167"/>
      <c r="X849" s="167"/>
      <c r="Y849" s="167"/>
      <c r="Z849" s="167"/>
    </row>
    <row r="850" spans="5:26" ht="12.75" customHeight="1">
      <c r="E850" s="264"/>
      <c r="F850" s="264"/>
      <c r="O850" s="149"/>
      <c r="P850" s="149"/>
      <c r="V850" s="167"/>
      <c r="W850" s="167"/>
      <c r="X850" s="167"/>
      <c r="Y850" s="167"/>
      <c r="Z850" s="167"/>
    </row>
    <row r="851" spans="5:26" ht="12.75" customHeight="1">
      <c r="E851" s="264"/>
      <c r="F851" s="264"/>
      <c r="O851" s="149"/>
      <c r="P851" s="149"/>
      <c r="V851" s="167"/>
      <c r="W851" s="167"/>
      <c r="X851" s="167"/>
      <c r="Y851" s="167"/>
      <c r="Z851" s="167"/>
    </row>
    <row r="852" spans="5:26" ht="12.75" customHeight="1">
      <c r="E852" s="264"/>
      <c r="F852" s="264"/>
      <c r="O852" s="149"/>
      <c r="P852" s="149"/>
      <c r="V852" s="167"/>
      <c r="W852" s="167"/>
      <c r="X852" s="167"/>
      <c r="Y852" s="167"/>
      <c r="Z852" s="167"/>
    </row>
    <row r="853" spans="5:26" ht="12.75" customHeight="1">
      <c r="E853" s="264"/>
      <c r="F853" s="264"/>
      <c r="O853" s="149"/>
      <c r="P853" s="149"/>
      <c r="V853" s="167"/>
      <c r="W853" s="167"/>
      <c r="X853" s="167"/>
      <c r="Y853" s="167"/>
      <c r="Z853" s="167"/>
    </row>
    <row r="854" spans="5:26" ht="12.75" customHeight="1">
      <c r="E854" s="264"/>
      <c r="F854" s="264"/>
      <c r="O854" s="149"/>
      <c r="P854" s="149"/>
      <c r="V854" s="167"/>
      <c r="W854" s="167"/>
      <c r="X854" s="167"/>
      <c r="Y854" s="167"/>
      <c r="Z854" s="167"/>
    </row>
    <row r="855" spans="5:26" ht="12.75" customHeight="1">
      <c r="E855" s="264"/>
      <c r="F855" s="264"/>
      <c r="O855" s="149"/>
      <c r="P855" s="149"/>
      <c r="V855" s="167"/>
      <c r="W855" s="167"/>
      <c r="X855" s="167"/>
      <c r="Y855" s="167"/>
      <c r="Z855" s="167"/>
    </row>
    <row r="856" spans="5:26" ht="12.75" customHeight="1">
      <c r="E856" s="264"/>
      <c r="F856" s="264"/>
      <c r="O856" s="149"/>
      <c r="P856" s="149"/>
      <c r="V856" s="167"/>
      <c r="W856" s="167"/>
      <c r="X856" s="167"/>
      <c r="Y856" s="167"/>
      <c r="Z856" s="167"/>
    </row>
    <row r="857" spans="5:26" ht="12.75" customHeight="1">
      <c r="E857" s="264"/>
      <c r="F857" s="264"/>
      <c r="O857" s="149"/>
      <c r="P857" s="149"/>
      <c r="V857" s="167"/>
      <c r="W857" s="167"/>
      <c r="X857" s="167"/>
      <c r="Y857" s="167"/>
      <c r="Z857" s="167"/>
    </row>
    <row r="858" spans="5:26" ht="12.75" customHeight="1">
      <c r="E858" s="264"/>
      <c r="F858" s="264"/>
      <c r="O858" s="149"/>
      <c r="P858" s="149"/>
      <c r="V858" s="167"/>
      <c r="W858" s="167"/>
      <c r="X858" s="167"/>
      <c r="Y858" s="167"/>
      <c r="Z858" s="167"/>
    </row>
    <row r="859" spans="5:26" ht="12.75" customHeight="1">
      <c r="E859" s="264"/>
      <c r="F859" s="264"/>
      <c r="O859" s="149"/>
      <c r="P859" s="149"/>
      <c r="V859" s="167"/>
      <c r="W859" s="167"/>
      <c r="X859" s="167"/>
      <c r="Y859" s="167"/>
      <c r="Z859" s="167"/>
    </row>
    <row r="860" spans="5:26" ht="12.75" customHeight="1">
      <c r="E860" s="264"/>
      <c r="F860" s="264"/>
      <c r="O860" s="149"/>
      <c r="P860" s="149"/>
      <c r="V860" s="167"/>
      <c r="W860" s="167"/>
      <c r="X860" s="167"/>
      <c r="Y860" s="167"/>
      <c r="Z860" s="167"/>
    </row>
    <row r="861" spans="5:26" ht="12.75" customHeight="1">
      <c r="E861" s="264"/>
      <c r="F861" s="264"/>
      <c r="O861" s="149"/>
      <c r="P861" s="149"/>
      <c r="V861" s="167"/>
      <c r="W861" s="167"/>
      <c r="X861" s="167"/>
      <c r="Y861" s="167"/>
      <c r="Z861" s="167"/>
    </row>
    <row r="862" spans="5:26" ht="12.75" customHeight="1">
      <c r="E862" s="264"/>
      <c r="F862" s="264"/>
      <c r="O862" s="149"/>
      <c r="P862" s="149"/>
      <c r="V862" s="167"/>
      <c r="W862" s="167"/>
      <c r="X862" s="167"/>
      <c r="Y862" s="167"/>
      <c r="Z862" s="167"/>
    </row>
    <row r="863" spans="5:26" ht="12.75" customHeight="1">
      <c r="E863" s="264"/>
      <c r="F863" s="264"/>
      <c r="O863" s="149"/>
      <c r="P863" s="149"/>
      <c r="V863" s="167"/>
      <c r="W863" s="167"/>
      <c r="X863" s="167"/>
      <c r="Y863" s="167"/>
      <c r="Z863" s="167"/>
    </row>
    <row r="864" spans="5:26" ht="12.75" customHeight="1">
      <c r="E864" s="264"/>
      <c r="F864" s="264"/>
      <c r="O864" s="149"/>
      <c r="P864" s="149"/>
      <c r="V864" s="167"/>
      <c r="W864" s="167"/>
      <c r="X864" s="167"/>
      <c r="Y864" s="167"/>
      <c r="Z864" s="167"/>
    </row>
    <row r="865" spans="5:26" ht="12.75" customHeight="1">
      <c r="E865" s="264"/>
      <c r="F865" s="264"/>
      <c r="O865" s="149"/>
      <c r="P865" s="149"/>
      <c r="V865" s="167"/>
      <c r="W865" s="167"/>
      <c r="X865" s="167"/>
      <c r="Y865" s="167"/>
      <c r="Z865" s="167"/>
    </row>
    <row r="866" spans="5:26" ht="12.75" customHeight="1">
      <c r="E866" s="264"/>
      <c r="F866" s="264"/>
      <c r="O866" s="149"/>
      <c r="P866" s="149"/>
      <c r="V866" s="167"/>
      <c r="W866" s="167"/>
      <c r="X866" s="167"/>
      <c r="Y866" s="167"/>
      <c r="Z866" s="167"/>
    </row>
    <row r="867" spans="5:26" ht="12.75" customHeight="1">
      <c r="E867" s="264"/>
      <c r="F867" s="264"/>
      <c r="O867" s="149"/>
      <c r="P867" s="149"/>
      <c r="V867" s="167"/>
      <c r="W867" s="167"/>
      <c r="X867" s="167"/>
      <c r="Y867" s="167"/>
      <c r="Z867" s="167"/>
    </row>
    <row r="868" spans="5:26" ht="12.75" customHeight="1">
      <c r="E868" s="264"/>
      <c r="F868" s="264"/>
      <c r="O868" s="149"/>
      <c r="P868" s="149"/>
      <c r="V868" s="167"/>
      <c r="W868" s="167"/>
      <c r="X868" s="167"/>
      <c r="Y868" s="167"/>
      <c r="Z868" s="167"/>
    </row>
    <row r="869" spans="5:26" ht="12.75" customHeight="1">
      <c r="E869" s="264"/>
      <c r="F869" s="264"/>
      <c r="O869" s="149"/>
      <c r="P869" s="149"/>
      <c r="V869" s="167"/>
      <c r="W869" s="167"/>
      <c r="X869" s="167"/>
      <c r="Y869" s="167"/>
      <c r="Z869" s="167"/>
    </row>
    <row r="870" spans="5:26" ht="12.75" customHeight="1">
      <c r="E870" s="264"/>
      <c r="F870" s="264"/>
      <c r="O870" s="149"/>
      <c r="P870" s="149"/>
      <c r="V870" s="167"/>
      <c r="W870" s="167"/>
      <c r="X870" s="167"/>
      <c r="Y870" s="167"/>
      <c r="Z870" s="167"/>
    </row>
    <row r="871" spans="5:26" ht="12.75" customHeight="1">
      <c r="E871" s="264"/>
      <c r="F871" s="264"/>
      <c r="O871" s="149"/>
      <c r="P871" s="149"/>
      <c r="V871" s="167"/>
      <c r="W871" s="167"/>
      <c r="X871" s="167"/>
      <c r="Y871" s="167"/>
      <c r="Z871" s="167"/>
    </row>
    <row r="872" spans="5:26" ht="12.75" customHeight="1">
      <c r="E872" s="264"/>
      <c r="F872" s="264"/>
      <c r="O872" s="149"/>
      <c r="P872" s="149"/>
      <c r="V872" s="167"/>
      <c r="W872" s="167"/>
      <c r="X872" s="167"/>
      <c r="Y872" s="167"/>
      <c r="Z872" s="167"/>
    </row>
    <row r="873" spans="5:26" ht="12.75" customHeight="1">
      <c r="E873" s="264"/>
      <c r="F873" s="264"/>
      <c r="O873" s="149"/>
      <c r="P873" s="149"/>
      <c r="V873" s="167"/>
      <c r="W873" s="167"/>
      <c r="X873" s="167"/>
      <c r="Y873" s="167"/>
      <c r="Z873" s="167"/>
    </row>
    <row r="874" spans="5:26" ht="12.75" customHeight="1">
      <c r="E874" s="264"/>
      <c r="F874" s="264"/>
      <c r="O874" s="149"/>
      <c r="P874" s="149"/>
      <c r="V874" s="167"/>
      <c r="W874" s="167"/>
      <c r="X874" s="167"/>
      <c r="Y874" s="167"/>
      <c r="Z874" s="167"/>
    </row>
    <row r="875" spans="5:26" ht="12.75" customHeight="1">
      <c r="E875" s="264"/>
      <c r="F875" s="264"/>
      <c r="O875" s="149"/>
      <c r="P875" s="149"/>
      <c r="V875" s="167"/>
      <c r="W875" s="167"/>
      <c r="X875" s="167"/>
      <c r="Y875" s="167"/>
      <c r="Z875" s="167"/>
    </row>
    <row r="876" spans="5:26" ht="12.75" customHeight="1">
      <c r="E876" s="264"/>
      <c r="F876" s="264"/>
      <c r="O876" s="149"/>
      <c r="P876" s="149"/>
      <c r="V876" s="167"/>
      <c r="W876" s="167"/>
      <c r="X876" s="167"/>
      <c r="Y876" s="167"/>
      <c r="Z876" s="167"/>
    </row>
    <row r="877" spans="5:26" ht="12.75" customHeight="1">
      <c r="E877" s="264"/>
      <c r="F877" s="264"/>
      <c r="O877" s="149"/>
      <c r="P877" s="149"/>
      <c r="V877" s="167"/>
      <c r="W877" s="167"/>
      <c r="X877" s="167"/>
      <c r="Y877" s="167"/>
      <c r="Z877" s="167"/>
    </row>
    <row r="878" spans="5:26" ht="12.75" customHeight="1">
      <c r="E878" s="264"/>
      <c r="F878" s="264"/>
      <c r="O878" s="149"/>
      <c r="P878" s="149"/>
      <c r="V878" s="167"/>
      <c r="W878" s="167"/>
      <c r="X878" s="167"/>
      <c r="Y878" s="167"/>
      <c r="Z878" s="167"/>
    </row>
    <row r="879" spans="5:26" ht="12.75" customHeight="1">
      <c r="E879" s="264"/>
      <c r="F879" s="264"/>
      <c r="O879" s="149"/>
      <c r="P879" s="149"/>
      <c r="V879" s="167"/>
      <c r="W879" s="167"/>
      <c r="X879" s="167"/>
      <c r="Y879" s="167"/>
      <c r="Z879" s="167"/>
    </row>
    <row r="880" spans="5:26" ht="12.75" customHeight="1">
      <c r="E880" s="264"/>
      <c r="F880" s="264"/>
      <c r="O880" s="149"/>
      <c r="P880" s="149"/>
      <c r="V880" s="167"/>
      <c r="W880" s="167"/>
      <c r="X880" s="167"/>
      <c r="Y880" s="167"/>
      <c r="Z880" s="167"/>
    </row>
    <row r="881" spans="5:26" ht="12.75" customHeight="1">
      <c r="E881" s="264"/>
      <c r="F881" s="264"/>
      <c r="O881" s="149"/>
      <c r="P881" s="149"/>
      <c r="V881" s="167"/>
      <c r="W881" s="167"/>
      <c r="X881" s="167"/>
      <c r="Y881" s="167"/>
      <c r="Z881" s="167"/>
    </row>
    <row r="882" spans="5:26" ht="12.75" customHeight="1">
      <c r="E882" s="264"/>
      <c r="F882" s="264"/>
      <c r="O882" s="149"/>
      <c r="P882" s="149"/>
      <c r="V882" s="167"/>
      <c r="W882" s="167"/>
      <c r="X882" s="167"/>
      <c r="Y882" s="167"/>
      <c r="Z882" s="167"/>
    </row>
    <row r="883" spans="5:26" ht="12.75" customHeight="1">
      <c r="E883" s="264"/>
      <c r="F883" s="264"/>
      <c r="O883" s="149"/>
      <c r="P883" s="149"/>
      <c r="V883" s="167"/>
      <c r="W883" s="167"/>
      <c r="X883" s="167"/>
      <c r="Y883" s="167"/>
      <c r="Z883" s="167"/>
    </row>
    <row r="884" spans="5:26" ht="12.75" customHeight="1">
      <c r="E884" s="264"/>
      <c r="F884" s="264"/>
      <c r="O884" s="149"/>
      <c r="P884" s="149"/>
      <c r="V884" s="167"/>
      <c r="W884" s="167"/>
      <c r="X884" s="167"/>
      <c r="Y884" s="167"/>
      <c r="Z884" s="167"/>
    </row>
    <row r="885" spans="5:26" ht="12.75" customHeight="1">
      <c r="E885" s="264"/>
      <c r="F885" s="264"/>
      <c r="O885" s="149"/>
      <c r="P885" s="149"/>
      <c r="V885" s="167"/>
      <c r="W885" s="167"/>
      <c r="X885" s="167"/>
      <c r="Y885" s="167"/>
      <c r="Z885" s="167"/>
    </row>
    <row r="886" spans="5:26" ht="12.75" customHeight="1">
      <c r="E886" s="264"/>
      <c r="F886" s="264"/>
      <c r="O886" s="149"/>
      <c r="P886" s="149"/>
      <c r="V886" s="167"/>
      <c r="W886" s="167"/>
      <c r="X886" s="167"/>
      <c r="Y886" s="167"/>
      <c r="Z886" s="167"/>
    </row>
    <row r="887" spans="5:26" ht="12.75" customHeight="1">
      <c r="E887" s="264"/>
      <c r="F887" s="264"/>
      <c r="O887" s="149"/>
      <c r="P887" s="149"/>
      <c r="V887" s="167"/>
      <c r="W887" s="167"/>
      <c r="X887" s="167"/>
      <c r="Y887" s="167"/>
      <c r="Z887" s="167"/>
    </row>
    <row r="888" spans="5:26" ht="12.75" customHeight="1">
      <c r="E888" s="264"/>
      <c r="F888" s="264"/>
      <c r="O888" s="149"/>
      <c r="P888" s="149"/>
      <c r="V888" s="167"/>
      <c r="W888" s="167"/>
      <c r="X888" s="167"/>
      <c r="Y888" s="167"/>
      <c r="Z888" s="167"/>
    </row>
    <row r="889" spans="5:26" ht="12.75" customHeight="1">
      <c r="E889" s="264"/>
      <c r="F889" s="264"/>
      <c r="O889" s="149"/>
      <c r="P889" s="149"/>
      <c r="V889" s="167"/>
      <c r="W889" s="167"/>
      <c r="X889" s="167"/>
      <c r="Y889" s="167"/>
      <c r="Z889" s="167"/>
    </row>
    <row r="890" spans="5:26" ht="12.75" customHeight="1">
      <c r="E890" s="264"/>
      <c r="F890" s="264"/>
      <c r="O890" s="149"/>
      <c r="P890" s="149"/>
      <c r="V890" s="167"/>
      <c r="W890" s="167"/>
      <c r="X890" s="167"/>
      <c r="Y890" s="167"/>
      <c r="Z890" s="167"/>
    </row>
    <row r="891" spans="5:26" ht="12.75" customHeight="1">
      <c r="E891" s="264"/>
      <c r="F891" s="264"/>
      <c r="O891" s="149"/>
      <c r="P891" s="149"/>
      <c r="V891" s="167"/>
      <c r="W891" s="167"/>
      <c r="X891" s="167"/>
      <c r="Y891" s="167"/>
      <c r="Z891" s="167"/>
    </row>
    <row r="892" spans="5:26" ht="12.75" customHeight="1">
      <c r="E892" s="264"/>
      <c r="F892" s="264"/>
      <c r="O892" s="149"/>
      <c r="P892" s="149"/>
      <c r="V892" s="167"/>
      <c r="W892" s="167"/>
      <c r="X892" s="167"/>
      <c r="Y892" s="167"/>
      <c r="Z892" s="167"/>
    </row>
    <row r="893" spans="5:26" ht="12.75" customHeight="1">
      <c r="E893" s="264"/>
      <c r="F893" s="264"/>
      <c r="O893" s="149"/>
      <c r="P893" s="149"/>
      <c r="V893" s="167"/>
      <c r="W893" s="167"/>
      <c r="X893" s="167"/>
      <c r="Y893" s="167"/>
      <c r="Z893" s="167"/>
    </row>
    <row r="894" spans="5:26" ht="12.75" customHeight="1">
      <c r="E894" s="264"/>
      <c r="F894" s="264"/>
      <c r="O894" s="149"/>
      <c r="P894" s="149"/>
      <c r="V894" s="167"/>
      <c r="W894" s="167"/>
      <c r="X894" s="167"/>
      <c r="Y894" s="167"/>
      <c r="Z894" s="167"/>
    </row>
    <row r="895" spans="5:26" ht="12.75" customHeight="1">
      <c r="E895" s="264"/>
      <c r="F895" s="264"/>
      <c r="O895" s="149"/>
      <c r="P895" s="149"/>
      <c r="V895" s="167"/>
      <c r="W895" s="167"/>
      <c r="X895" s="167"/>
      <c r="Y895" s="167"/>
      <c r="Z895" s="167"/>
    </row>
    <row r="896" spans="5:26" ht="12.75" customHeight="1">
      <c r="E896" s="264"/>
      <c r="F896" s="264"/>
      <c r="O896" s="149"/>
      <c r="P896" s="149"/>
      <c r="V896" s="167"/>
      <c r="W896" s="167"/>
      <c r="X896" s="167"/>
      <c r="Y896" s="167"/>
      <c r="Z896" s="167"/>
    </row>
    <row r="897" spans="5:26" ht="12.75" customHeight="1">
      <c r="E897" s="264"/>
      <c r="F897" s="264"/>
      <c r="O897" s="149"/>
      <c r="P897" s="149"/>
      <c r="V897" s="167"/>
      <c r="W897" s="167"/>
      <c r="X897" s="167"/>
      <c r="Y897" s="167"/>
      <c r="Z897" s="167"/>
    </row>
    <row r="898" spans="5:26" ht="12.75" customHeight="1">
      <c r="E898" s="264"/>
      <c r="F898" s="264"/>
      <c r="O898" s="149"/>
      <c r="P898" s="149"/>
      <c r="V898" s="167"/>
      <c r="W898" s="167"/>
      <c r="X898" s="167"/>
      <c r="Y898" s="167"/>
      <c r="Z898" s="167"/>
    </row>
    <row r="899" spans="5:26" ht="12.75" customHeight="1">
      <c r="E899" s="264"/>
      <c r="F899" s="264"/>
      <c r="O899" s="149"/>
      <c r="P899" s="149"/>
      <c r="V899" s="167"/>
      <c r="W899" s="167"/>
      <c r="X899" s="167"/>
      <c r="Y899" s="167"/>
      <c r="Z899" s="167"/>
    </row>
    <row r="900" spans="5:26" ht="12.75" customHeight="1">
      <c r="E900" s="264"/>
      <c r="F900" s="264"/>
      <c r="O900" s="149"/>
      <c r="P900" s="149"/>
      <c r="V900" s="167"/>
      <c r="W900" s="167"/>
      <c r="X900" s="167"/>
      <c r="Y900" s="167"/>
      <c r="Z900" s="167"/>
    </row>
    <row r="901" spans="5:26" ht="12.75" customHeight="1">
      <c r="E901" s="264"/>
      <c r="F901" s="264"/>
      <c r="O901" s="149"/>
      <c r="P901" s="149"/>
      <c r="V901" s="167"/>
      <c r="W901" s="167"/>
      <c r="X901" s="167"/>
      <c r="Y901" s="167"/>
      <c r="Z901" s="167"/>
    </row>
    <row r="902" spans="5:26" ht="12.75" customHeight="1">
      <c r="E902" s="264"/>
      <c r="F902" s="264"/>
      <c r="O902" s="149"/>
      <c r="P902" s="149"/>
      <c r="V902" s="167"/>
      <c r="W902" s="167"/>
      <c r="X902" s="167"/>
      <c r="Y902" s="167"/>
      <c r="Z902" s="167"/>
    </row>
    <row r="903" spans="5:26" ht="12.75" customHeight="1">
      <c r="E903" s="264"/>
      <c r="F903" s="264"/>
      <c r="O903" s="149"/>
      <c r="P903" s="149"/>
      <c r="V903" s="167"/>
      <c r="W903" s="167"/>
      <c r="X903" s="167"/>
      <c r="Y903" s="167"/>
      <c r="Z903" s="167"/>
    </row>
    <row r="904" spans="5:26" ht="12.75" customHeight="1">
      <c r="E904" s="264"/>
      <c r="F904" s="264"/>
      <c r="O904" s="149"/>
      <c r="P904" s="149"/>
      <c r="V904" s="167"/>
      <c r="W904" s="167"/>
      <c r="X904" s="167"/>
      <c r="Y904" s="167"/>
      <c r="Z904" s="167"/>
    </row>
    <row r="905" spans="5:26" ht="12.75" customHeight="1">
      <c r="E905" s="264"/>
      <c r="F905" s="264"/>
      <c r="O905" s="149"/>
      <c r="P905" s="149"/>
      <c r="V905" s="167"/>
      <c r="W905" s="167"/>
      <c r="X905" s="167"/>
      <c r="Y905" s="167"/>
      <c r="Z905" s="167"/>
    </row>
    <row r="906" spans="5:26" ht="12.75" customHeight="1">
      <c r="E906" s="264"/>
      <c r="F906" s="264"/>
      <c r="O906" s="149"/>
      <c r="P906" s="149"/>
      <c r="V906" s="167"/>
      <c r="W906" s="167"/>
      <c r="X906" s="167"/>
      <c r="Y906" s="167"/>
      <c r="Z906" s="167"/>
    </row>
    <row r="907" spans="5:26" ht="12.75" customHeight="1">
      <c r="E907" s="264"/>
      <c r="F907" s="264"/>
      <c r="O907" s="149"/>
      <c r="P907" s="149"/>
      <c r="V907" s="167"/>
      <c r="W907" s="167"/>
      <c r="X907" s="167"/>
      <c r="Y907" s="167"/>
      <c r="Z907" s="167"/>
    </row>
    <row r="908" spans="5:26" ht="12.75" customHeight="1">
      <c r="E908" s="264"/>
      <c r="F908" s="264"/>
      <c r="O908" s="149"/>
      <c r="P908" s="149"/>
      <c r="V908" s="167"/>
      <c r="W908" s="167"/>
      <c r="X908" s="167"/>
      <c r="Y908" s="167"/>
      <c r="Z908" s="167"/>
    </row>
    <row r="909" spans="5:26" ht="12.75" customHeight="1">
      <c r="E909" s="264"/>
      <c r="F909" s="264"/>
      <c r="O909" s="149"/>
      <c r="P909" s="149"/>
      <c r="V909" s="167"/>
      <c r="W909" s="167"/>
      <c r="X909" s="167"/>
      <c r="Y909" s="167"/>
      <c r="Z909" s="167"/>
    </row>
    <row r="910" spans="5:26" ht="12.75" customHeight="1">
      <c r="E910" s="264"/>
      <c r="F910" s="264"/>
      <c r="O910" s="149"/>
      <c r="P910" s="149"/>
      <c r="V910" s="167"/>
      <c r="W910" s="167"/>
      <c r="X910" s="167"/>
      <c r="Y910" s="167"/>
      <c r="Z910" s="167"/>
    </row>
    <row r="911" spans="5:26" ht="12.75" customHeight="1">
      <c r="E911" s="264"/>
      <c r="F911" s="264"/>
      <c r="O911" s="149"/>
      <c r="P911" s="149"/>
      <c r="V911" s="167"/>
      <c r="W911" s="167"/>
      <c r="X911" s="167"/>
      <c r="Y911" s="167"/>
      <c r="Z911" s="167"/>
    </row>
    <row r="912" spans="5:26" ht="12.75" customHeight="1">
      <c r="E912" s="264"/>
      <c r="F912" s="264"/>
      <c r="O912" s="149"/>
      <c r="P912" s="149"/>
      <c r="V912" s="167"/>
      <c r="W912" s="167"/>
      <c r="X912" s="167"/>
      <c r="Y912" s="167"/>
      <c r="Z912" s="167"/>
    </row>
    <row r="913" spans="5:26" ht="12.75" customHeight="1">
      <c r="E913" s="264"/>
      <c r="F913" s="264"/>
      <c r="O913" s="149"/>
      <c r="P913" s="149"/>
      <c r="V913" s="167"/>
      <c r="W913" s="167"/>
      <c r="X913" s="167"/>
      <c r="Y913" s="167"/>
      <c r="Z913" s="167"/>
    </row>
    <row r="914" spans="5:26" ht="12.75" customHeight="1">
      <c r="E914" s="264"/>
      <c r="F914" s="264"/>
      <c r="O914" s="149"/>
      <c r="P914" s="149"/>
      <c r="V914" s="167"/>
      <c r="W914" s="167"/>
      <c r="X914" s="167"/>
      <c r="Y914" s="167"/>
      <c r="Z914" s="167"/>
    </row>
    <row r="915" spans="5:26" ht="12.75" customHeight="1">
      <c r="E915" s="264"/>
      <c r="F915" s="264"/>
      <c r="O915" s="149"/>
      <c r="P915" s="149"/>
      <c r="V915" s="167"/>
      <c r="W915" s="167"/>
      <c r="X915" s="167"/>
      <c r="Y915" s="167"/>
      <c r="Z915" s="167"/>
    </row>
    <row r="916" spans="5:26" ht="12.75" customHeight="1">
      <c r="E916" s="264"/>
      <c r="F916" s="264"/>
      <c r="O916" s="149"/>
      <c r="P916" s="149"/>
      <c r="V916" s="167"/>
      <c r="W916" s="167"/>
      <c r="X916" s="167"/>
      <c r="Y916" s="167"/>
      <c r="Z916" s="167"/>
    </row>
    <row r="917" spans="5:26" ht="12.75" customHeight="1">
      <c r="E917" s="264"/>
      <c r="F917" s="264"/>
      <c r="O917" s="149"/>
      <c r="P917" s="149"/>
      <c r="V917" s="167"/>
      <c r="W917" s="167"/>
      <c r="X917" s="167"/>
      <c r="Y917" s="167"/>
      <c r="Z917" s="167"/>
    </row>
    <row r="918" spans="5:26" ht="12.75" customHeight="1">
      <c r="E918" s="264"/>
      <c r="F918" s="264"/>
      <c r="O918" s="149"/>
      <c r="P918" s="149"/>
      <c r="V918" s="167"/>
      <c r="W918" s="167"/>
      <c r="X918" s="167"/>
      <c r="Y918" s="167"/>
      <c r="Z918" s="167"/>
    </row>
    <row r="919" spans="5:26" ht="12.75" customHeight="1">
      <c r="E919" s="264"/>
      <c r="F919" s="264"/>
      <c r="O919" s="149"/>
      <c r="P919" s="149"/>
      <c r="V919" s="167"/>
      <c r="W919" s="167"/>
      <c r="X919" s="167"/>
      <c r="Y919" s="167"/>
      <c r="Z919" s="167"/>
    </row>
    <row r="920" spans="5:26" ht="12.75" customHeight="1">
      <c r="E920" s="264"/>
      <c r="F920" s="264"/>
      <c r="O920" s="149"/>
      <c r="P920" s="149"/>
      <c r="V920" s="167"/>
      <c r="W920" s="167"/>
      <c r="X920" s="167"/>
      <c r="Y920" s="167"/>
      <c r="Z920" s="167"/>
    </row>
    <row r="921" spans="5:26" ht="12.75" customHeight="1">
      <c r="E921" s="264"/>
      <c r="F921" s="264"/>
      <c r="O921" s="149"/>
      <c r="P921" s="149"/>
      <c r="V921" s="167"/>
      <c r="W921" s="167"/>
      <c r="X921" s="167"/>
      <c r="Y921" s="167"/>
      <c r="Z921" s="167"/>
    </row>
    <row r="922" spans="5:26" ht="12.75" customHeight="1">
      <c r="E922" s="264"/>
      <c r="F922" s="264"/>
      <c r="O922" s="149"/>
      <c r="P922" s="149"/>
      <c r="V922" s="167"/>
      <c r="W922" s="167"/>
      <c r="X922" s="167"/>
      <c r="Y922" s="167"/>
      <c r="Z922" s="167"/>
    </row>
    <row r="923" spans="5:26" ht="12.75" customHeight="1">
      <c r="E923" s="264"/>
      <c r="F923" s="264"/>
      <c r="O923" s="149"/>
      <c r="P923" s="149"/>
      <c r="V923" s="167"/>
      <c r="W923" s="167"/>
      <c r="X923" s="167"/>
      <c r="Y923" s="167"/>
      <c r="Z923" s="167"/>
    </row>
    <row r="924" spans="5:26" ht="12.75" customHeight="1">
      <c r="E924" s="264"/>
      <c r="F924" s="264"/>
      <c r="O924" s="149"/>
      <c r="P924" s="149"/>
      <c r="V924" s="167"/>
      <c r="W924" s="167"/>
      <c r="X924" s="167"/>
      <c r="Y924" s="167"/>
      <c r="Z924" s="167"/>
    </row>
    <row r="925" spans="5:26" ht="12.75" customHeight="1">
      <c r="E925" s="264"/>
      <c r="F925" s="264"/>
      <c r="O925" s="149"/>
      <c r="P925" s="149"/>
      <c r="V925" s="167"/>
      <c r="W925" s="167"/>
      <c r="X925" s="167"/>
      <c r="Y925" s="167"/>
      <c r="Z925" s="167"/>
    </row>
    <row r="926" spans="5:26" ht="12.75" customHeight="1">
      <c r="E926" s="264"/>
      <c r="F926" s="264"/>
      <c r="O926" s="149"/>
      <c r="P926" s="149"/>
      <c r="V926" s="167"/>
      <c r="W926" s="167"/>
      <c r="X926" s="167"/>
      <c r="Y926" s="167"/>
      <c r="Z926" s="167"/>
    </row>
    <row r="927" spans="5:26" ht="12.75" customHeight="1">
      <c r="E927" s="264"/>
      <c r="F927" s="264"/>
      <c r="O927" s="149"/>
      <c r="P927" s="149"/>
      <c r="V927" s="167"/>
      <c r="W927" s="167"/>
      <c r="X927" s="167"/>
      <c r="Y927" s="167"/>
      <c r="Z927" s="167"/>
    </row>
    <row r="928" spans="5:26" ht="12.75" customHeight="1">
      <c r="E928" s="264"/>
      <c r="F928" s="264"/>
      <c r="O928" s="149"/>
      <c r="P928" s="149"/>
      <c r="V928" s="167"/>
      <c r="W928" s="167"/>
      <c r="X928" s="167"/>
      <c r="Y928" s="167"/>
      <c r="Z928" s="167"/>
    </row>
    <row r="929" spans="5:26" ht="12.75" customHeight="1">
      <c r="E929" s="264"/>
      <c r="F929" s="264"/>
      <c r="O929" s="149"/>
      <c r="P929" s="149"/>
      <c r="V929" s="167"/>
      <c r="W929" s="167"/>
      <c r="X929" s="167"/>
      <c r="Y929" s="167"/>
      <c r="Z929" s="167"/>
    </row>
    <row r="930" spans="5:26" ht="12.75" customHeight="1">
      <c r="E930" s="264"/>
      <c r="F930" s="264"/>
      <c r="O930" s="149"/>
      <c r="P930" s="149"/>
      <c r="V930" s="167"/>
      <c r="W930" s="167"/>
      <c r="X930" s="167"/>
      <c r="Y930" s="167"/>
      <c r="Z930" s="167"/>
    </row>
    <row r="931" spans="5:26" ht="12.75" customHeight="1">
      <c r="E931" s="264"/>
      <c r="F931" s="264"/>
      <c r="O931" s="149"/>
      <c r="P931" s="149"/>
      <c r="V931" s="167"/>
      <c r="W931" s="167"/>
      <c r="X931" s="167"/>
      <c r="Y931" s="167"/>
      <c r="Z931" s="167"/>
    </row>
    <row r="932" spans="5:26" ht="12.75" customHeight="1">
      <c r="E932" s="264"/>
      <c r="F932" s="264"/>
      <c r="O932" s="149"/>
      <c r="P932" s="149"/>
      <c r="V932" s="167"/>
      <c r="W932" s="167"/>
      <c r="X932" s="167"/>
      <c r="Y932" s="167"/>
      <c r="Z932" s="167"/>
    </row>
    <row r="933" spans="5:26" ht="12.75" customHeight="1">
      <c r="E933" s="264"/>
      <c r="F933" s="264"/>
      <c r="O933" s="149"/>
      <c r="P933" s="149"/>
      <c r="V933" s="167"/>
      <c r="W933" s="167"/>
      <c r="X933" s="167"/>
      <c r="Y933" s="167"/>
      <c r="Z933" s="167"/>
    </row>
    <row r="934" spans="5:26" ht="12.75" customHeight="1">
      <c r="E934" s="264"/>
      <c r="F934" s="264"/>
      <c r="O934" s="149"/>
      <c r="P934" s="149"/>
      <c r="V934" s="167"/>
      <c r="W934" s="167"/>
      <c r="X934" s="167"/>
      <c r="Y934" s="167"/>
      <c r="Z934" s="167"/>
    </row>
    <row r="935" spans="5:26" ht="12.75" customHeight="1">
      <c r="E935" s="264"/>
      <c r="F935" s="264"/>
      <c r="O935" s="149"/>
      <c r="P935" s="149"/>
      <c r="V935" s="167"/>
      <c r="W935" s="167"/>
      <c r="X935" s="167"/>
      <c r="Y935" s="167"/>
      <c r="Z935" s="167"/>
    </row>
    <row r="936" spans="5:26" ht="12.75" customHeight="1">
      <c r="E936" s="264"/>
      <c r="F936" s="264"/>
      <c r="O936" s="149"/>
      <c r="P936" s="149"/>
      <c r="V936" s="167"/>
      <c r="W936" s="167"/>
      <c r="X936" s="167"/>
      <c r="Y936" s="167"/>
      <c r="Z936" s="167"/>
    </row>
    <row r="937" spans="5:26" ht="12.75" customHeight="1">
      <c r="E937" s="264"/>
      <c r="F937" s="264"/>
      <c r="O937" s="149"/>
      <c r="P937" s="149"/>
      <c r="V937" s="167"/>
      <c r="W937" s="167"/>
      <c r="X937" s="167"/>
      <c r="Y937" s="167"/>
      <c r="Z937" s="167"/>
    </row>
    <row r="938" spans="5:26" ht="12.75" customHeight="1">
      <c r="E938" s="264"/>
      <c r="F938" s="264"/>
      <c r="O938" s="149"/>
      <c r="P938" s="149"/>
      <c r="V938" s="167"/>
      <c r="W938" s="167"/>
      <c r="X938" s="167"/>
      <c r="Y938" s="167"/>
      <c r="Z938" s="167"/>
    </row>
    <row r="939" spans="5:26" ht="12.75" customHeight="1">
      <c r="E939" s="264"/>
      <c r="F939" s="264"/>
      <c r="O939" s="149"/>
      <c r="P939" s="149"/>
      <c r="V939" s="167"/>
      <c r="W939" s="167"/>
      <c r="X939" s="167"/>
      <c r="Y939" s="167"/>
      <c r="Z939" s="167"/>
    </row>
    <row r="940" spans="5:26" ht="12.75" customHeight="1">
      <c r="E940" s="264"/>
      <c r="F940" s="264"/>
      <c r="O940" s="149"/>
      <c r="P940" s="149"/>
      <c r="V940" s="167"/>
      <c r="W940" s="167"/>
      <c r="X940" s="167"/>
      <c r="Y940" s="167"/>
      <c r="Z940" s="167"/>
    </row>
    <row r="941" spans="5:26" ht="12.75" customHeight="1">
      <c r="E941" s="264"/>
      <c r="F941" s="264"/>
      <c r="O941" s="149"/>
      <c r="P941" s="149"/>
      <c r="V941" s="167"/>
      <c r="W941" s="167"/>
      <c r="X941" s="167"/>
      <c r="Y941" s="167"/>
      <c r="Z941" s="167"/>
    </row>
    <row r="942" spans="5:26" ht="12.75" customHeight="1">
      <c r="E942" s="264"/>
      <c r="F942" s="264"/>
      <c r="O942" s="149"/>
      <c r="P942" s="149"/>
      <c r="V942" s="167"/>
      <c r="W942" s="167"/>
      <c r="X942" s="167"/>
      <c r="Y942" s="167"/>
      <c r="Z942" s="167"/>
    </row>
    <row r="943" spans="5:26" ht="12.75" customHeight="1">
      <c r="E943" s="264"/>
      <c r="F943" s="264"/>
      <c r="O943" s="149"/>
      <c r="P943" s="149"/>
      <c r="V943" s="167"/>
      <c r="W943" s="167"/>
      <c r="X943" s="167"/>
      <c r="Y943" s="167"/>
      <c r="Z943" s="167"/>
    </row>
    <row r="944" spans="5:26" ht="12.75" customHeight="1">
      <c r="E944" s="264"/>
      <c r="F944" s="264"/>
      <c r="O944" s="149"/>
      <c r="P944" s="149"/>
      <c r="V944" s="167"/>
      <c r="W944" s="167"/>
      <c r="X944" s="167"/>
      <c r="Y944" s="167"/>
      <c r="Z944" s="167"/>
    </row>
    <row r="945" spans="5:26" ht="12.75" customHeight="1">
      <c r="E945" s="264"/>
      <c r="F945" s="264"/>
      <c r="O945" s="149"/>
      <c r="P945" s="149"/>
      <c r="V945" s="167"/>
      <c r="W945" s="167"/>
      <c r="X945" s="167"/>
      <c r="Y945" s="167"/>
      <c r="Z945" s="167"/>
    </row>
  </sheetData>
  <mergeCells count="1">
    <mergeCell ref="D4:R4"/>
  </mergeCells>
  <pageMargins left="0.7" right="0.7" top="0.75" bottom="0.75" header="0.511811023622047" footer="0.511811023622047"/>
  <pageSetup orientation="landscape" horizontalDpi="300" verticalDpi="30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935"/>
  <sheetViews>
    <sheetView showGridLines="0" topLeftCell="B2" zoomScaleNormal="100" workbookViewId="0">
      <selection activeCell="G14" sqref="G14"/>
    </sheetView>
  </sheetViews>
  <sheetFormatPr defaultColWidth="12.5703125" defaultRowHeight="15"/>
  <cols>
    <col min="1" max="1" width="1.5703125" customWidth="1"/>
    <col min="2" max="2" width="42.28515625" customWidth="1"/>
    <col min="3" max="3" width="21.28515625" customWidth="1"/>
    <col min="4" max="4" width="14.85546875" customWidth="1"/>
    <col min="5" max="5" width="16.5703125" customWidth="1"/>
    <col min="6" max="6" width="10.85546875" customWidth="1"/>
    <col min="7" max="7" width="14.5703125" customWidth="1"/>
    <col min="8" max="8" width="9.7109375" customWidth="1"/>
    <col min="9" max="9" width="10.42578125" customWidth="1"/>
    <col min="10" max="10" width="8.85546875" customWidth="1"/>
    <col min="11" max="11" width="10.140625" customWidth="1"/>
    <col min="12" max="12" width="3.140625" customWidth="1"/>
    <col min="13" max="13" width="11.28515625" customWidth="1"/>
    <col min="14" max="14" width="3.140625" customWidth="1"/>
    <col min="15" max="15" width="11.28515625" customWidth="1"/>
    <col min="16" max="16" width="2.5703125" customWidth="1"/>
    <col min="17" max="17" width="10.140625" customWidth="1"/>
    <col min="18" max="18" width="10" customWidth="1"/>
    <col min="19" max="19" width="1.5703125" customWidth="1"/>
    <col min="20" max="20" width="22.5703125" customWidth="1"/>
    <col min="21" max="25" width="10.5703125" customWidth="1"/>
    <col min="26" max="26" width="10.85546875" customWidth="1"/>
    <col min="27" max="28" width="8.85546875" customWidth="1"/>
  </cols>
  <sheetData>
    <row r="1" spans="1:28" ht="12.75" customHeight="1">
      <c r="A1" s="1" t="s">
        <v>217</v>
      </c>
      <c r="B1" s="1"/>
      <c r="C1" s="1"/>
      <c r="D1" s="1"/>
      <c r="E1" s="124"/>
      <c r="F1" s="124"/>
      <c r="G1" s="1"/>
      <c r="H1" s="1"/>
      <c r="I1" s="1"/>
      <c r="J1" s="1"/>
      <c r="K1" s="1"/>
      <c r="L1" s="1"/>
      <c r="M1" s="1"/>
      <c r="N1" s="1"/>
      <c r="O1" s="50"/>
      <c r="P1" s="50"/>
      <c r="Q1" s="1"/>
      <c r="R1" s="1"/>
      <c r="V1" s="167"/>
      <c r="W1" s="167"/>
      <c r="X1" s="167"/>
      <c r="Y1" s="167"/>
      <c r="Z1" s="167"/>
    </row>
    <row r="2" spans="1:28" ht="12.75" customHeight="1">
      <c r="A2" s="1"/>
      <c r="B2" s="133" t="s">
        <v>218</v>
      </c>
      <c r="C2" s="136"/>
      <c r="D2" s="136"/>
      <c r="E2" s="168"/>
      <c r="F2" s="168"/>
      <c r="G2" s="136"/>
      <c r="H2" s="136"/>
      <c r="I2" s="136"/>
      <c r="J2" s="136"/>
      <c r="K2" s="136"/>
      <c r="L2" s="136"/>
      <c r="M2" s="136"/>
      <c r="N2" s="136"/>
      <c r="O2" s="169"/>
      <c r="P2" s="169"/>
      <c r="Q2" s="136"/>
      <c r="R2" s="136"/>
      <c r="V2" s="167"/>
      <c r="W2" s="167"/>
      <c r="X2" s="167"/>
      <c r="Y2" s="167"/>
      <c r="Z2" s="167"/>
    </row>
    <row r="3" spans="1:28" ht="12.75" customHeight="1">
      <c r="A3" s="1"/>
      <c r="B3" s="170"/>
      <c r="C3" s="171"/>
      <c r="D3" s="171"/>
      <c r="E3" s="172"/>
      <c r="F3" s="172"/>
      <c r="G3" s="136"/>
      <c r="H3" s="173"/>
      <c r="I3" s="171"/>
      <c r="J3" s="171"/>
      <c r="K3" s="171"/>
      <c r="L3" s="171"/>
      <c r="M3" s="171"/>
      <c r="N3" s="171"/>
      <c r="O3" s="174"/>
      <c r="P3" s="174"/>
      <c r="Q3" s="171"/>
      <c r="R3" s="136"/>
      <c r="V3" s="167"/>
      <c r="W3" s="167"/>
      <c r="X3" s="167"/>
      <c r="Y3" s="167"/>
      <c r="Z3" s="167"/>
    </row>
    <row r="4" spans="1:28" ht="12.75" customHeight="1">
      <c r="A4" s="1"/>
      <c r="B4" s="175" t="s">
        <v>138</v>
      </c>
      <c r="C4" s="171"/>
      <c r="D4" s="487" t="s">
        <v>139</v>
      </c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T4" s="176"/>
      <c r="U4" s="177"/>
      <c r="V4" s="178"/>
      <c r="W4" s="178"/>
      <c r="X4" s="178"/>
      <c r="Y4" s="178"/>
      <c r="Z4" s="178"/>
    </row>
    <row r="5" spans="1:28" ht="12.75" customHeight="1">
      <c r="A5" s="1"/>
      <c r="B5" s="171" t="s">
        <v>140</v>
      </c>
      <c r="C5" s="179">
        <v>42369</v>
      </c>
      <c r="D5" s="171"/>
      <c r="E5" s="172"/>
      <c r="F5" s="172"/>
      <c r="G5" s="171"/>
      <c r="H5" s="171"/>
      <c r="I5" s="171"/>
      <c r="J5" s="171"/>
      <c r="K5" s="171"/>
      <c r="L5" s="171"/>
      <c r="M5" s="171"/>
      <c r="N5" s="171"/>
      <c r="O5" s="174"/>
      <c r="P5" s="174"/>
      <c r="Q5" s="171"/>
      <c r="R5" s="136"/>
      <c r="T5" s="180"/>
      <c r="U5" s="181"/>
      <c r="V5" s="181"/>
      <c r="W5" s="181"/>
      <c r="X5" s="181"/>
      <c r="Y5" s="182"/>
      <c r="Z5" s="182"/>
    </row>
    <row r="6" spans="1:28" ht="12.75" customHeight="1">
      <c r="A6" s="1"/>
      <c r="B6" s="171" t="s">
        <v>141</v>
      </c>
      <c r="C6" s="179">
        <v>42444</v>
      </c>
      <c r="D6" s="171"/>
      <c r="E6" s="172"/>
      <c r="F6" s="172"/>
      <c r="G6" s="171"/>
      <c r="H6" s="171"/>
      <c r="I6" s="171"/>
      <c r="J6" s="171"/>
      <c r="K6" s="171"/>
      <c r="L6" s="171"/>
      <c r="M6" s="171"/>
      <c r="N6" s="171"/>
      <c r="O6" s="174"/>
      <c r="P6" s="174"/>
      <c r="Q6" s="171"/>
      <c r="R6" s="136"/>
      <c r="T6" s="180"/>
      <c r="U6" s="183"/>
      <c r="V6" s="184"/>
      <c r="W6" s="184"/>
      <c r="X6" s="184"/>
      <c r="Y6" s="185"/>
      <c r="Z6" s="185"/>
    </row>
    <row r="7" spans="1:28" ht="12.75" customHeight="1">
      <c r="A7" s="1"/>
      <c r="B7" s="171" t="s">
        <v>142</v>
      </c>
      <c r="C7" s="186">
        <v>2.47E-2</v>
      </c>
      <c r="D7" s="171"/>
      <c r="E7" s="172"/>
      <c r="F7" s="172"/>
      <c r="G7" s="171"/>
      <c r="H7" s="171"/>
      <c r="I7" s="171"/>
      <c r="J7" s="171"/>
      <c r="K7" s="171"/>
      <c r="L7" s="171"/>
      <c r="M7" s="171"/>
      <c r="N7" s="171"/>
      <c r="O7" s="174"/>
      <c r="P7" s="174"/>
      <c r="Q7" s="171"/>
      <c r="R7" s="136"/>
      <c r="T7" s="187"/>
      <c r="U7" s="183"/>
      <c r="V7" s="184"/>
      <c r="W7" s="184"/>
      <c r="X7" s="184"/>
      <c r="Y7" s="185"/>
      <c r="Z7" s="185"/>
    </row>
    <row r="8" spans="1:28" ht="12.75" customHeight="1">
      <c r="A8" s="1"/>
      <c r="B8" s="171" t="s">
        <v>143</v>
      </c>
      <c r="C8" s="188">
        <v>494.64370176</v>
      </c>
      <c r="D8" s="171"/>
      <c r="E8" s="172"/>
      <c r="F8" s="172"/>
      <c r="G8" s="171"/>
      <c r="H8" s="189" t="s">
        <v>144</v>
      </c>
      <c r="I8" s="171"/>
      <c r="J8" s="171"/>
      <c r="K8" s="171"/>
      <c r="L8" s="171"/>
      <c r="M8" s="189" t="s">
        <v>145</v>
      </c>
      <c r="N8" s="171"/>
      <c r="O8" s="174"/>
      <c r="P8" s="174"/>
      <c r="Q8" s="171"/>
      <c r="R8" s="136"/>
      <c r="T8" s="180"/>
      <c r="U8" s="190"/>
      <c r="V8" s="190"/>
      <c r="W8" s="190"/>
      <c r="X8" s="190"/>
      <c r="Y8" s="191"/>
      <c r="Z8" s="191"/>
    </row>
    <row r="9" spans="1:28" ht="12.75" customHeight="1">
      <c r="A9" s="165"/>
      <c r="B9" s="192" t="s">
        <v>146</v>
      </c>
      <c r="C9" s="189" t="s">
        <v>147</v>
      </c>
      <c r="D9" s="189" t="s">
        <v>148</v>
      </c>
      <c r="E9" s="193" t="s">
        <v>149</v>
      </c>
      <c r="F9" s="193" t="s">
        <v>150</v>
      </c>
      <c r="G9" s="189" t="s">
        <v>151</v>
      </c>
      <c r="H9" s="189" t="s">
        <v>152</v>
      </c>
      <c r="I9" s="189" t="s">
        <v>153</v>
      </c>
      <c r="J9" s="189" t="s">
        <v>154</v>
      </c>
      <c r="K9" s="189" t="s">
        <v>155</v>
      </c>
      <c r="L9" s="189"/>
      <c r="M9" s="189" t="s">
        <v>156</v>
      </c>
      <c r="N9" s="189"/>
      <c r="O9" s="194" t="s">
        <v>157</v>
      </c>
      <c r="P9" s="194"/>
      <c r="Q9" s="189" t="s">
        <v>158</v>
      </c>
      <c r="R9" s="195" t="s">
        <v>159</v>
      </c>
      <c r="T9" s="180"/>
      <c r="U9" s="196"/>
      <c r="V9" s="196"/>
      <c r="W9" s="196"/>
      <c r="X9" s="196"/>
      <c r="Y9" s="197"/>
      <c r="Z9" s="197"/>
      <c r="AA9" s="198"/>
      <c r="AB9" s="198"/>
    </row>
    <row r="10" spans="1:28" ht="12.75" customHeight="1">
      <c r="A10" s="1"/>
      <c r="B10" s="171" t="s">
        <v>160</v>
      </c>
      <c r="C10" s="172" t="s">
        <v>161</v>
      </c>
      <c r="D10" s="172"/>
      <c r="E10" s="199">
        <v>43101</v>
      </c>
      <c r="F10" s="200">
        <v>750</v>
      </c>
      <c r="G10" s="200">
        <v>219.2</v>
      </c>
      <c r="H10" s="201"/>
      <c r="I10" s="202">
        <v>100</v>
      </c>
      <c r="J10" s="203">
        <v>4.1300000000000003E-2</v>
      </c>
      <c r="K10" s="188">
        <f>G10</f>
        <v>219.2</v>
      </c>
      <c r="L10" s="204"/>
      <c r="M10" s="204"/>
      <c r="N10" s="204"/>
      <c r="O10" s="205">
        <v>3.5000000000000003E-2</v>
      </c>
      <c r="P10" s="206" t="s">
        <v>162</v>
      </c>
      <c r="Q10" s="207">
        <f>G10*(1%+O10)</f>
        <v>9.8640000000000008</v>
      </c>
      <c r="R10" s="208"/>
      <c r="T10" s="209"/>
      <c r="U10" s="196"/>
      <c r="V10" s="196"/>
      <c r="W10" s="196"/>
      <c r="X10" s="196"/>
      <c r="Y10" s="210"/>
      <c r="Z10" s="210"/>
    </row>
    <row r="11" spans="1:28" ht="12.75" customHeight="1">
      <c r="A11" s="1"/>
      <c r="B11" s="171" t="s">
        <v>163</v>
      </c>
      <c r="C11" s="172" t="s">
        <v>161</v>
      </c>
      <c r="D11" s="172"/>
      <c r="E11" s="199">
        <v>43466</v>
      </c>
      <c r="F11" s="209">
        <v>1800</v>
      </c>
      <c r="G11" s="209">
        <v>1764</v>
      </c>
      <c r="H11" s="211">
        <f>(G11+G10)/$C$8</f>
        <v>4.0093505546387087</v>
      </c>
      <c r="I11" s="202">
        <v>95</v>
      </c>
      <c r="J11" s="212">
        <v>0.06</v>
      </c>
      <c r="K11" s="188">
        <f>I11/100*G11</f>
        <v>1675.8</v>
      </c>
      <c r="L11" s="204"/>
      <c r="M11" s="211">
        <f>SUM(K10:K11)/C8</f>
        <v>3.8310403897944498</v>
      </c>
      <c r="N11" s="204"/>
      <c r="O11" s="205">
        <v>3.5000000000000003E-2</v>
      </c>
      <c r="P11" s="206" t="s">
        <v>162</v>
      </c>
      <c r="Q11" s="207">
        <f>G11*(1%+O11)</f>
        <v>79.38000000000001</v>
      </c>
      <c r="R11" s="213">
        <f>C8/(Q11+Q10)</f>
        <v>5.5425989619470206</v>
      </c>
      <c r="T11" s="209"/>
      <c r="U11" s="196"/>
      <c r="V11" s="196"/>
      <c r="W11" s="196"/>
      <c r="X11" s="196"/>
      <c r="Y11" s="210"/>
      <c r="Z11" s="210"/>
    </row>
    <row r="12" spans="1:28" ht="12.75" customHeight="1">
      <c r="A12" s="1"/>
      <c r="B12" s="171" t="s">
        <v>164</v>
      </c>
      <c r="C12" s="172" t="s">
        <v>161</v>
      </c>
      <c r="D12" s="172"/>
      <c r="E12" s="199">
        <v>43831</v>
      </c>
      <c r="F12" s="214">
        <v>1500</v>
      </c>
      <c r="G12" s="214">
        <v>1500</v>
      </c>
      <c r="H12" s="215"/>
      <c r="I12" s="216">
        <v>92</v>
      </c>
      <c r="J12" s="217">
        <v>0.127</v>
      </c>
      <c r="K12" s="218">
        <f>I12/100*G12</f>
        <v>1380</v>
      </c>
      <c r="L12" s="219"/>
      <c r="M12" s="219"/>
      <c r="N12" s="219"/>
      <c r="O12" s="220">
        <v>0.1</v>
      </c>
      <c r="P12" s="221"/>
      <c r="Q12" s="222">
        <f>G12*O12</f>
        <v>150</v>
      </c>
      <c r="R12" s="223"/>
      <c r="T12" s="209"/>
      <c r="U12" s="196"/>
      <c r="V12" s="196"/>
      <c r="W12" s="196"/>
      <c r="X12" s="196"/>
      <c r="Y12" s="210"/>
      <c r="Z12" s="210"/>
    </row>
    <row r="13" spans="1:28" ht="12.75" customHeight="1">
      <c r="A13" s="1"/>
      <c r="B13" s="224" t="s">
        <v>165</v>
      </c>
      <c r="C13" s="225"/>
      <c r="D13" s="225"/>
      <c r="E13" s="225"/>
      <c r="F13" s="226">
        <f>F12+F11+F10</f>
        <v>4050</v>
      </c>
      <c r="G13" s="226">
        <f>G12+G11+G10</f>
        <v>3483.2</v>
      </c>
      <c r="H13" s="227">
        <f>G13/$C$8</f>
        <v>7.0418363513097768</v>
      </c>
      <c r="I13" s="228"/>
      <c r="J13" s="228"/>
      <c r="K13" s="226">
        <f>SUM(K10:K12)</f>
        <v>3275</v>
      </c>
      <c r="L13" s="224"/>
      <c r="M13" s="227">
        <f>K13/C8</f>
        <v>6.6209273227318333</v>
      </c>
      <c r="N13" s="224"/>
      <c r="O13" s="229"/>
      <c r="P13" s="230"/>
      <c r="Q13" s="226">
        <f>SUM(Q10:Q12)</f>
        <v>239.24400000000003</v>
      </c>
      <c r="R13" s="231">
        <f>C8/Q13</f>
        <v>2.0675281376335453</v>
      </c>
      <c r="T13" s="209"/>
    </row>
    <row r="14" spans="1:28" ht="6" customHeight="1">
      <c r="A14" s="1"/>
      <c r="B14" s="171"/>
      <c r="C14" s="172"/>
      <c r="D14" s="172"/>
      <c r="E14" s="172"/>
      <c r="F14" s="172"/>
      <c r="G14" s="171"/>
      <c r="H14" s="171"/>
      <c r="I14" s="172"/>
      <c r="J14" s="172"/>
      <c r="K14" s="171"/>
      <c r="L14" s="171"/>
      <c r="M14" s="171"/>
      <c r="N14" s="171"/>
      <c r="O14" s="203"/>
      <c r="P14" s="232"/>
      <c r="Q14" s="171"/>
      <c r="R14" s="136"/>
      <c r="T14" s="209"/>
    </row>
    <row r="15" spans="1:28" ht="6" customHeight="1">
      <c r="A15" s="1"/>
      <c r="B15" s="171"/>
      <c r="C15" s="172"/>
      <c r="D15" s="172"/>
      <c r="E15" s="172"/>
      <c r="F15" s="242"/>
      <c r="G15" s="243"/>
      <c r="H15" s="244"/>
      <c r="I15" s="171"/>
      <c r="J15" s="171"/>
      <c r="K15" s="171"/>
      <c r="L15" s="171"/>
      <c r="M15" s="171"/>
      <c r="N15" s="171"/>
      <c r="O15" s="174"/>
      <c r="P15" s="174"/>
      <c r="Q15" s="171"/>
      <c r="R15" s="136"/>
    </row>
    <row r="16" spans="1:28" ht="12.75" customHeight="1">
      <c r="A16" s="1"/>
      <c r="B16" s="171" t="s">
        <v>171</v>
      </c>
      <c r="C16" s="172"/>
      <c r="D16" s="172"/>
      <c r="E16" s="172"/>
      <c r="F16" s="245">
        <f>F13</f>
        <v>4050</v>
      </c>
      <c r="G16" s="245">
        <f>G13</f>
        <v>3483.2</v>
      </c>
      <c r="H16" s="211">
        <f>G16/$C$8</f>
        <v>7.0418363513097768</v>
      </c>
      <c r="I16" s="171"/>
      <c r="J16" s="171"/>
      <c r="K16" s="245"/>
      <c r="L16" s="171"/>
      <c r="M16" s="211">
        <f>K13/C8</f>
        <v>6.6209273227318333</v>
      </c>
      <c r="N16" s="171"/>
      <c r="O16" s="174"/>
      <c r="P16" s="174"/>
      <c r="Q16" s="246">
        <f>Q13</f>
        <v>239.24400000000003</v>
      </c>
      <c r="R16" s="213">
        <f>C8/Q16</f>
        <v>2.0675281376335453</v>
      </c>
      <c r="T16" s="209"/>
      <c r="V16" s="167"/>
      <c r="W16" s="167"/>
      <c r="X16" s="167"/>
      <c r="Y16" s="167"/>
      <c r="Z16" s="167"/>
    </row>
    <row r="17" spans="1:26" ht="12.75" customHeight="1">
      <c r="A17" s="1"/>
      <c r="B17" s="171" t="s">
        <v>172</v>
      </c>
      <c r="C17" s="172"/>
      <c r="D17" s="172"/>
      <c r="E17" s="172"/>
      <c r="F17" s="242"/>
      <c r="G17" s="234">
        <f>-C26</f>
        <v>-264.99168816493801</v>
      </c>
      <c r="H17" s="247"/>
      <c r="I17" s="171"/>
      <c r="J17" s="171"/>
      <c r="K17" s="209"/>
      <c r="L17" s="171"/>
      <c r="M17" s="171"/>
      <c r="N17" s="171"/>
      <c r="O17" s="174"/>
      <c r="P17" s="174"/>
      <c r="Q17" s="171"/>
      <c r="R17" s="136"/>
      <c r="T17" s="209"/>
      <c r="V17" s="167"/>
      <c r="W17" s="167"/>
      <c r="X17" s="167"/>
      <c r="Y17" s="167"/>
      <c r="Z17" s="167"/>
    </row>
    <row r="18" spans="1:26" ht="12.75" customHeight="1">
      <c r="A18" s="248"/>
      <c r="B18" s="236" t="s">
        <v>173</v>
      </c>
      <c r="C18" s="225"/>
      <c r="D18" s="225"/>
      <c r="E18" s="225"/>
      <c r="F18" s="238"/>
      <c r="G18" s="249">
        <f>G16+G17</f>
        <v>3218.208311835062</v>
      </c>
      <c r="H18" s="227">
        <f>G18/$C$8</f>
        <v>6.5061139975790683</v>
      </c>
      <c r="I18" s="236"/>
      <c r="J18" s="236"/>
      <c r="K18" s="213"/>
      <c r="L18" s="236"/>
      <c r="M18" s="227">
        <f>M16+G17/C8</f>
        <v>6.0852049690011238</v>
      </c>
      <c r="N18" s="236"/>
      <c r="O18" s="250"/>
      <c r="P18" s="250"/>
      <c r="Q18" s="236"/>
      <c r="R18" s="223"/>
      <c r="T18" s="209"/>
      <c r="V18" s="167"/>
      <c r="W18" s="167"/>
      <c r="X18" s="167"/>
      <c r="Y18" s="167"/>
      <c r="Z18" s="167"/>
    </row>
    <row r="19" spans="1:26" ht="6" customHeight="1">
      <c r="A19" s="1"/>
      <c r="B19" s="171"/>
      <c r="C19" s="172"/>
      <c r="D19" s="172"/>
      <c r="E19" s="172"/>
      <c r="F19" s="172"/>
      <c r="G19" s="171"/>
      <c r="H19" s="171"/>
      <c r="I19" s="171"/>
      <c r="J19" s="171"/>
      <c r="K19" s="171"/>
      <c r="L19" s="171"/>
      <c r="M19" s="171"/>
      <c r="N19" s="171"/>
      <c r="O19" s="174"/>
      <c r="P19" s="174"/>
      <c r="Q19" s="171"/>
      <c r="R19" s="136"/>
      <c r="T19" s="209"/>
      <c r="V19" s="167"/>
      <c r="W19" s="167"/>
      <c r="X19" s="167"/>
      <c r="Y19" s="167"/>
      <c r="Z19" s="167"/>
    </row>
    <row r="20" spans="1:26" ht="12.75" customHeight="1">
      <c r="A20" s="1"/>
      <c r="B20" s="171" t="s">
        <v>174</v>
      </c>
      <c r="C20" s="171"/>
      <c r="D20" s="171"/>
      <c r="E20" s="172"/>
      <c r="F20" s="172"/>
      <c r="G20" s="171"/>
      <c r="H20" s="136"/>
      <c r="I20" s="171"/>
      <c r="J20" s="171"/>
      <c r="K20" s="171"/>
      <c r="L20" s="171"/>
      <c r="M20" s="171"/>
      <c r="N20" s="171"/>
      <c r="O20" s="174"/>
      <c r="P20" s="174"/>
      <c r="Q20" s="171"/>
      <c r="R20" s="136"/>
      <c r="T20" s="209"/>
      <c r="V20" s="167"/>
      <c r="W20" s="167"/>
      <c r="X20" s="251"/>
      <c r="Y20" s="252"/>
      <c r="Z20" s="253"/>
    </row>
    <row r="21" spans="1:26" ht="12.75" customHeight="1">
      <c r="A21" s="1"/>
      <c r="B21" s="171" t="s">
        <v>175</v>
      </c>
      <c r="C21" s="254">
        <v>750</v>
      </c>
      <c r="D21" s="171"/>
      <c r="E21" s="255"/>
      <c r="F21" s="255"/>
      <c r="G21" s="171"/>
      <c r="H21" s="171"/>
      <c r="I21" s="171"/>
      <c r="J21" s="171"/>
      <c r="K21" s="171"/>
      <c r="L21" s="171"/>
      <c r="M21" s="171"/>
      <c r="N21" s="171"/>
      <c r="O21" s="174"/>
      <c r="P21" s="174"/>
      <c r="Q21" s="171"/>
      <c r="R21" s="136"/>
      <c r="V21" s="167"/>
      <c r="W21" s="167"/>
      <c r="X21" s="256"/>
      <c r="Y21" s="257"/>
      <c r="Z21" s="114"/>
    </row>
    <row r="22" spans="1:26" ht="12.75" customHeight="1">
      <c r="A22" s="1"/>
      <c r="B22" s="171" t="s">
        <v>176</v>
      </c>
      <c r="C22" s="258">
        <v>-219.2</v>
      </c>
      <c r="D22" s="171"/>
      <c r="E22" s="172"/>
      <c r="F22" s="172"/>
      <c r="G22" s="259"/>
      <c r="H22" s="171"/>
      <c r="I22" s="171"/>
      <c r="J22" s="171"/>
      <c r="K22" s="171"/>
      <c r="L22" s="171"/>
      <c r="M22" s="171"/>
      <c r="N22" s="171"/>
      <c r="O22" s="174"/>
      <c r="P22" s="174"/>
      <c r="Q22" s="171"/>
      <c r="R22" s="136"/>
      <c r="V22" s="167"/>
      <c r="W22" s="167"/>
      <c r="X22" s="260"/>
      <c r="Y22" s="114"/>
      <c r="Z22" s="114"/>
    </row>
    <row r="23" spans="1:26" ht="12.75" customHeight="1">
      <c r="A23" s="1"/>
      <c r="B23" s="171" t="s">
        <v>177</v>
      </c>
      <c r="C23" s="214">
        <v>-125</v>
      </c>
      <c r="D23" s="171"/>
      <c r="E23" s="172"/>
      <c r="F23" s="172"/>
      <c r="G23" s="261"/>
      <c r="H23" s="171"/>
      <c r="I23" s="171"/>
      <c r="J23" s="171"/>
      <c r="K23" s="171"/>
      <c r="L23" s="171"/>
      <c r="M23" s="171"/>
      <c r="N23" s="171"/>
      <c r="O23" s="174"/>
      <c r="P23" s="174"/>
      <c r="Q23" s="171"/>
      <c r="R23" s="136"/>
      <c r="V23" s="167"/>
      <c r="W23" s="167"/>
      <c r="X23" s="256"/>
      <c r="Y23" s="262"/>
      <c r="Z23" s="114"/>
    </row>
    <row r="24" spans="1:26" ht="12.75" customHeight="1">
      <c r="A24" s="1"/>
      <c r="B24" s="171" t="s">
        <v>178</v>
      </c>
      <c r="C24" s="201">
        <f>SUM(C21:C23)</f>
        <v>405.79999999999995</v>
      </c>
      <c r="D24" s="171"/>
      <c r="E24" s="263"/>
      <c r="F24" s="264"/>
      <c r="I24" s="171"/>
      <c r="J24" s="171"/>
      <c r="K24" s="171"/>
      <c r="L24" s="171"/>
      <c r="M24" s="171"/>
      <c r="N24" s="171"/>
      <c r="O24" s="174"/>
      <c r="P24" s="174"/>
      <c r="Q24" s="171"/>
      <c r="R24" s="136"/>
      <c r="V24" s="167"/>
      <c r="W24" s="167"/>
      <c r="X24" s="256"/>
      <c r="Y24" s="114"/>
      <c r="Z24" s="114"/>
    </row>
    <row r="25" spans="1:26" ht="12.75" customHeight="1">
      <c r="A25" s="1"/>
      <c r="B25" s="171"/>
      <c r="C25" s="258"/>
      <c r="D25" s="171"/>
      <c r="E25" s="256"/>
      <c r="F25" s="264"/>
      <c r="I25" s="136"/>
      <c r="J25" s="136"/>
      <c r="K25" s="136"/>
      <c r="L25" s="136"/>
      <c r="M25" s="136"/>
      <c r="N25" s="136"/>
      <c r="O25" s="174"/>
      <c r="P25" s="174"/>
      <c r="Q25" s="136"/>
      <c r="R25" s="136"/>
      <c r="V25" s="167"/>
      <c r="W25" s="167"/>
      <c r="X25" s="256"/>
      <c r="Y25" s="114"/>
      <c r="Z25" s="114"/>
    </row>
    <row r="26" spans="1:26" ht="12.75" customHeight="1">
      <c r="A26" s="1"/>
      <c r="B26" s="171" t="s">
        <v>179</v>
      </c>
      <c r="C26" s="214">
        <v>264.99168816493801</v>
      </c>
      <c r="D26" s="171"/>
      <c r="E26" s="256"/>
      <c r="F26" s="264"/>
      <c r="I26" s="136"/>
      <c r="J26" s="136"/>
      <c r="K26" s="136"/>
      <c r="L26" s="136"/>
      <c r="M26" s="136"/>
      <c r="N26" s="136"/>
      <c r="O26" s="174"/>
      <c r="P26" s="174"/>
      <c r="Q26" s="136"/>
      <c r="R26" s="136"/>
      <c r="V26" s="167"/>
      <c r="W26" s="167"/>
      <c r="X26" s="167"/>
      <c r="Y26" s="167"/>
      <c r="Z26" s="167"/>
    </row>
    <row r="27" spans="1:26" ht="12.75" customHeight="1">
      <c r="A27" s="1"/>
      <c r="B27" s="173" t="s">
        <v>180</v>
      </c>
      <c r="C27" s="246">
        <f>C26+C24</f>
        <v>670.79168816493802</v>
      </c>
      <c r="D27" s="171"/>
      <c r="E27" s="256"/>
      <c r="F27" s="264"/>
      <c r="G27">
        <v>2016</v>
      </c>
      <c r="I27" s="136"/>
      <c r="J27" s="136">
        <v>2017</v>
      </c>
      <c r="K27" s="136"/>
      <c r="L27" s="136"/>
      <c r="M27" s="136"/>
      <c r="N27" s="136"/>
      <c r="O27" s="169"/>
      <c r="P27" s="169"/>
      <c r="Q27" s="136"/>
      <c r="R27" s="136"/>
      <c r="V27" s="167"/>
      <c r="W27" s="167"/>
      <c r="X27" s="167"/>
      <c r="Y27" s="167"/>
      <c r="Z27" s="167"/>
    </row>
    <row r="28" spans="1:26" ht="12.75" customHeight="1">
      <c r="A28" s="1"/>
      <c r="B28" s="1"/>
      <c r="C28" s="1"/>
      <c r="D28" s="1"/>
      <c r="E28" s="256"/>
      <c r="F28" s="264"/>
      <c r="G28" s="265">
        <f>C35+3.5%</f>
        <v>4.7100000000000003E-2</v>
      </c>
      <c r="H28" s="266">
        <f>G10*G28</f>
        <v>10.32432</v>
      </c>
      <c r="I28" s="50">
        <f>C38+3.5%</f>
        <v>5.3000000000000005E-2</v>
      </c>
      <c r="J28" s="266">
        <f>G10*I28</f>
        <v>11.617600000000001</v>
      </c>
      <c r="K28" s="1"/>
      <c r="L28" s="1"/>
      <c r="M28" s="1"/>
      <c r="N28" s="1"/>
      <c r="O28" s="50"/>
      <c r="P28" s="50"/>
      <c r="Q28" s="1"/>
      <c r="R28" s="1"/>
      <c r="V28" s="167"/>
      <c r="W28" s="167"/>
      <c r="X28" s="167"/>
      <c r="Y28" s="167"/>
      <c r="Z28" s="167"/>
    </row>
    <row r="29" spans="1:26" ht="12.75" customHeight="1">
      <c r="A29" s="1"/>
      <c r="B29" s="267" t="s">
        <v>181</v>
      </c>
      <c r="C29" s="268">
        <v>200</v>
      </c>
      <c r="D29" s="1"/>
      <c r="E29" s="256"/>
      <c r="F29" s="264"/>
      <c r="H29">
        <f>G28*G11</f>
        <v>83.084400000000002</v>
      </c>
      <c r="I29" s="1"/>
      <c r="J29">
        <f>I28*G11</f>
        <v>93.492000000000004</v>
      </c>
      <c r="K29" s="1"/>
      <c r="L29" s="1"/>
      <c r="M29" s="1"/>
      <c r="N29" s="1"/>
      <c r="O29" s="50"/>
      <c r="P29" s="50"/>
      <c r="Q29" s="1"/>
      <c r="R29" s="1"/>
      <c r="V29" s="167"/>
      <c r="W29" s="167"/>
      <c r="X29" s="167"/>
      <c r="Y29" s="167"/>
      <c r="Z29" s="167"/>
    </row>
    <row r="30" spans="1:26" ht="12.75" customHeight="1">
      <c r="A30" s="1"/>
      <c r="B30" s="1"/>
      <c r="C30" s="1"/>
      <c r="D30" s="1"/>
      <c r="E30" s="124"/>
      <c r="F30" s="124"/>
      <c r="G30" s="1"/>
      <c r="H30" s="1">
        <f>O12*G12</f>
        <v>150</v>
      </c>
      <c r="I30" s="1"/>
      <c r="J30" s="1">
        <f>H30</f>
        <v>150</v>
      </c>
      <c r="K30" s="1"/>
      <c r="L30" s="1"/>
      <c r="M30" s="1"/>
      <c r="N30" s="1"/>
      <c r="O30" s="50"/>
      <c r="P30" s="50"/>
      <c r="Q30" s="1"/>
      <c r="R30" s="1"/>
      <c r="V30" s="167"/>
      <c r="W30" s="167"/>
      <c r="X30" s="167"/>
      <c r="Y30" s="167"/>
      <c r="Z30" s="167"/>
    </row>
    <row r="31" spans="1:26" ht="12.75" customHeight="1">
      <c r="B31" s="1"/>
      <c r="E31" s="264"/>
      <c r="F31" s="264"/>
      <c r="H31" s="266">
        <f>SUM(H28:H30)</f>
        <v>243.40872000000002</v>
      </c>
      <c r="J31" s="266">
        <f>SUM(J28:J30)</f>
        <v>255.1096</v>
      </c>
      <c r="O31" s="149"/>
      <c r="P31" s="149"/>
      <c r="V31" s="167"/>
      <c r="W31" s="167"/>
      <c r="X31" s="167"/>
      <c r="Y31" s="167"/>
      <c r="Z31" s="167"/>
    </row>
    <row r="32" spans="1:26" ht="12.75" customHeight="1">
      <c r="B32" s="269" t="s">
        <v>182</v>
      </c>
      <c r="C32" s="270" t="s">
        <v>183</v>
      </c>
      <c r="E32" s="264"/>
      <c r="F32" s="264"/>
      <c r="O32" s="149"/>
      <c r="P32" s="149"/>
      <c r="V32" s="167"/>
      <c r="W32" s="167"/>
      <c r="X32" s="167"/>
      <c r="Y32" s="167"/>
      <c r="Z32" s="167"/>
    </row>
    <row r="33" spans="2:26" ht="12.75" customHeight="1">
      <c r="B33" s="271" t="s">
        <v>184</v>
      </c>
      <c r="C33" s="272">
        <v>6.3E-3</v>
      </c>
      <c r="E33" s="264"/>
      <c r="F33" s="264"/>
      <c r="O33" s="149"/>
      <c r="P33" s="149"/>
      <c r="V33" s="167"/>
      <c r="W33" s="167"/>
      <c r="X33" s="167"/>
      <c r="Y33" s="167"/>
      <c r="Z33" s="167"/>
    </row>
    <row r="34" spans="2:26" ht="12.75" customHeight="1">
      <c r="B34" s="1" t="s">
        <v>185</v>
      </c>
      <c r="C34" s="272">
        <v>8.9999999999999993E-3</v>
      </c>
      <c r="E34" s="264"/>
      <c r="F34" s="264"/>
      <c r="O34" s="149"/>
      <c r="P34" s="149"/>
      <c r="V34" s="167"/>
      <c r="W34" s="167"/>
      <c r="X34" s="167"/>
      <c r="Y34" s="167"/>
      <c r="Z34" s="167"/>
    </row>
    <row r="35" spans="2:26" ht="12.75" customHeight="1">
      <c r="B35" s="271" t="s">
        <v>186</v>
      </c>
      <c r="C35" s="272">
        <v>1.21E-2</v>
      </c>
      <c r="E35" s="264"/>
      <c r="F35" s="264"/>
      <c r="O35" s="149"/>
      <c r="P35" s="149"/>
      <c r="V35" s="167"/>
      <c r="W35" s="167"/>
      <c r="X35" s="167"/>
      <c r="Y35" s="167"/>
      <c r="Z35" s="167"/>
    </row>
    <row r="36" spans="2:26" ht="12.75" customHeight="1">
      <c r="B36" s="273" t="s">
        <v>187</v>
      </c>
      <c r="C36" s="274">
        <v>1.15E-2</v>
      </c>
      <c r="E36" s="264"/>
      <c r="F36" s="264"/>
      <c r="O36" s="149"/>
      <c r="P36" s="149"/>
      <c r="T36" s="275"/>
      <c r="U36" s="196"/>
      <c r="V36" s="196"/>
      <c r="W36" s="196"/>
      <c r="X36" s="196"/>
      <c r="Y36" s="276"/>
      <c r="Z36" s="276"/>
    </row>
    <row r="37" spans="2:26" ht="12.75" customHeight="1">
      <c r="B37" s="271" t="s">
        <v>188</v>
      </c>
      <c r="C37" s="272">
        <v>1.4200000000000001E-2</v>
      </c>
      <c r="E37" s="264"/>
      <c r="F37" s="264"/>
      <c r="O37" s="149"/>
      <c r="P37" s="149"/>
      <c r="V37" s="167"/>
      <c r="W37" s="167"/>
      <c r="X37" s="167"/>
      <c r="Y37" s="167"/>
      <c r="Z37" s="167"/>
    </row>
    <row r="38" spans="2:26" ht="12.75" customHeight="1">
      <c r="B38" s="1" t="s">
        <v>189</v>
      </c>
      <c r="C38" s="272">
        <v>1.7999999999999999E-2</v>
      </c>
      <c r="E38" s="264"/>
      <c r="F38" s="264"/>
      <c r="O38" s="149"/>
      <c r="P38" s="149"/>
      <c r="V38" s="167"/>
      <c r="W38" s="167"/>
      <c r="X38" s="167"/>
      <c r="Y38" s="167"/>
      <c r="Z38" s="167"/>
    </row>
    <row r="39" spans="2:26" ht="12.75" customHeight="1">
      <c r="B39" s="1"/>
      <c r="C39" s="1"/>
      <c r="E39" s="264"/>
      <c r="F39" s="264"/>
      <c r="O39" s="149"/>
      <c r="P39" s="149"/>
      <c r="V39" s="167"/>
      <c r="W39" s="167"/>
      <c r="X39" s="167"/>
      <c r="Y39" s="167"/>
      <c r="Z39" s="167"/>
    </row>
    <row r="40" spans="2:26" ht="12.75" customHeight="1">
      <c r="B40" s="277" t="s">
        <v>190</v>
      </c>
      <c r="C40" s="278" t="s">
        <v>191</v>
      </c>
      <c r="D40" s="278" t="s">
        <v>191</v>
      </c>
      <c r="E40" s="278" t="s">
        <v>191</v>
      </c>
      <c r="F40" s="264"/>
      <c r="O40" s="149"/>
      <c r="P40" s="149"/>
      <c r="V40" s="167"/>
      <c r="W40" s="167"/>
      <c r="X40" s="167"/>
      <c r="Y40" s="167"/>
      <c r="Z40" s="167"/>
    </row>
    <row r="41" spans="2:26" ht="12.75" customHeight="1">
      <c r="C41" s="279"/>
      <c r="D41" s="280" t="s">
        <v>192</v>
      </c>
      <c r="E41" s="279"/>
      <c r="F41" s="264"/>
      <c r="O41" s="149"/>
      <c r="P41" s="149"/>
      <c r="V41" s="167"/>
      <c r="W41" s="167"/>
      <c r="X41" s="167"/>
      <c r="Y41" s="167"/>
      <c r="Z41" s="167"/>
    </row>
    <row r="42" spans="2:26" ht="12.75" customHeight="1">
      <c r="C42" s="100">
        <v>2016</v>
      </c>
      <c r="D42" s="100">
        <v>2017</v>
      </c>
      <c r="E42" s="100">
        <v>2018</v>
      </c>
      <c r="F42" s="281" t="s">
        <v>191</v>
      </c>
      <c r="G42" s="281" t="s">
        <v>191</v>
      </c>
      <c r="H42" s="281" t="s">
        <v>191</v>
      </c>
      <c r="I42" s="281" t="s">
        <v>191</v>
      </c>
      <c r="J42" s="281" t="s">
        <v>191</v>
      </c>
      <c r="K42" s="281" t="s">
        <v>191</v>
      </c>
      <c r="O42" s="149"/>
      <c r="P42" s="149"/>
      <c r="V42" s="167"/>
      <c r="W42" s="167"/>
      <c r="X42" s="167"/>
      <c r="Y42" s="167"/>
      <c r="Z42" s="167"/>
    </row>
    <row r="43" spans="2:26" ht="12.75" customHeight="1">
      <c r="B43" s="282" t="s">
        <v>193</v>
      </c>
      <c r="C43" s="283" t="s">
        <v>191</v>
      </c>
      <c r="D43" s="283" t="s">
        <v>191</v>
      </c>
      <c r="E43" s="283" t="s">
        <v>191</v>
      </c>
      <c r="G43" s="284"/>
      <c r="K43" s="285"/>
      <c r="O43" s="149"/>
      <c r="P43" s="149"/>
      <c r="V43" s="167"/>
      <c r="W43" s="167"/>
      <c r="X43" s="167"/>
      <c r="Y43" s="167"/>
      <c r="Z43" s="167"/>
    </row>
    <row r="44" spans="2:26" ht="12.75" customHeight="1">
      <c r="B44" s="286" t="s">
        <v>194</v>
      </c>
      <c r="C44" s="287">
        <f>'Ex 2 Balance Sheet'!C6</f>
        <v>264.99168816493801</v>
      </c>
      <c r="D44" s="287">
        <f ca="1">C48</f>
        <v>191</v>
      </c>
      <c r="E44" s="287">
        <f ca="1">D48</f>
        <v>191</v>
      </c>
      <c r="F44" s="264"/>
      <c r="O44" s="149"/>
      <c r="P44" s="149"/>
      <c r="V44" s="167"/>
      <c r="W44" s="167"/>
      <c r="X44" s="167"/>
      <c r="Y44" s="167"/>
      <c r="Z44" s="167"/>
    </row>
    <row r="45" spans="2:26" ht="12.75" customHeight="1">
      <c r="B45" s="288"/>
      <c r="C45" s="265"/>
      <c r="D45" s="265"/>
      <c r="E45" s="265"/>
      <c r="F45" s="264"/>
      <c r="O45" s="149"/>
      <c r="P45" s="149"/>
      <c r="V45" s="167"/>
      <c r="W45" s="167"/>
      <c r="X45" s="167"/>
      <c r="Y45" s="167"/>
      <c r="Z45" s="167"/>
    </row>
    <row r="46" spans="2:26" ht="12.75" customHeight="1">
      <c r="B46" s="286" t="s">
        <v>195</v>
      </c>
      <c r="C46" s="289">
        <f ca="1">$C$7*AVERAGE(C44,C48)</f>
        <v>5.6314973488369846</v>
      </c>
      <c r="D46" s="289">
        <f ca="1">$C$7*AVERAGE(D44,D48)</f>
        <v>4.7176999999999998</v>
      </c>
      <c r="E46" s="289">
        <f ca="1">$C$7*AVERAGE(E44,E48)</f>
        <v>1.4464854969940812</v>
      </c>
      <c r="F46" s="264"/>
      <c r="O46" s="149"/>
      <c r="P46" s="149"/>
      <c r="V46" s="167"/>
      <c r="W46" s="167"/>
      <c r="X46" s="167"/>
      <c r="Y46" s="167"/>
      <c r="Z46" s="167"/>
    </row>
    <row r="47" spans="2:26" ht="12.75" customHeight="1">
      <c r="E47" s="264"/>
      <c r="F47" s="264"/>
      <c r="O47" s="149"/>
      <c r="P47" s="149"/>
      <c r="V47" s="167"/>
      <c r="W47" s="167"/>
      <c r="X47" s="167"/>
      <c r="Y47" s="167"/>
      <c r="Z47" s="167"/>
    </row>
    <row r="48" spans="2:26" ht="12.75" customHeight="1">
      <c r="B48" s="290" t="s">
        <v>196</v>
      </c>
      <c r="C48" s="291">
        <f ca="1">'Ex 2 Balance Sheet'!E6</f>
        <v>191</v>
      </c>
      <c r="D48" s="291">
        <f ca="1">'Ex 2 Balance Sheet'!F6</f>
        <v>191</v>
      </c>
      <c r="E48" s="291">
        <f ca="1">'Ex 2 Balance Sheet'!G6</f>
        <v>-73.875668259588565</v>
      </c>
      <c r="F48" s="264"/>
      <c r="O48" s="149"/>
      <c r="P48" s="149"/>
      <c r="V48" s="167"/>
      <c r="W48" s="167"/>
      <c r="X48" s="167"/>
      <c r="Y48" s="167"/>
      <c r="Z48" s="167"/>
    </row>
    <row r="49" spans="2:26" ht="12.75" customHeight="1">
      <c r="E49" s="264"/>
      <c r="F49" s="264"/>
      <c r="O49" s="149"/>
      <c r="P49" s="149"/>
      <c r="V49" s="167"/>
      <c r="W49" s="167"/>
      <c r="X49" s="167"/>
      <c r="Y49" s="167"/>
      <c r="Z49" s="167"/>
    </row>
    <row r="50" spans="2:26" ht="12.75" customHeight="1">
      <c r="E50" s="264"/>
      <c r="F50" s="264"/>
      <c r="O50" s="149"/>
      <c r="P50" s="149"/>
      <c r="V50" s="167"/>
      <c r="W50" s="167"/>
      <c r="X50" s="167"/>
      <c r="Y50" s="167"/>
      <c r="Z50" s="167"/>
    </row>
    <row r="51" spans="2:26" ht="12.75" customHeight="1">
      <c r="B51" s="286"/>
      <c r="E51" s="264"/>
      <c r="F51" s="264"/>
      <c r="O51" s="149"/>
      <c r="P51" s="149"/>
      <c r="V51" s="167"/>
      <c r="W51" s="167"/>
      <c r="X51" s="167"/>
      <c r="Y51" s="167"/>
      <c r="Z51" s="167"/>
    </row>
    <row r="52" spans="2:26" ht="12.75" customHeight="1">
      <c r="B52" s="286"/>
      <c r="E52" s="264"/>
      <c r="F52" s="264"/>
      <c r="O52" s="149"/>
      <c r="P52" s="149"/>
      <c r="V52" s="167"/>
      <c r="W52" s="167"/>
      <c r="X52" s="167"/>
      <c r="Y52" s="167"/>
      <c r="Z52" s="167"/>
    </row>
    <row r="53" spans="2:26" ht="12.75" customHeight="1">
      <c r="B53" s="286"/>
      <c r="E53" s="264"/>
      <c r="F53" s="264"/>
      <c r="O53" s="149"/>
      <c r="P53" s="149"/>
      <c r="V53" s="167"/>
      <c r="W53" s="167"/>
      <c r="X53" s="167"/>
      <c r="Y53" s="167"/>
      <c r="Z53" s="167"/>
    </row>
    <row r="54" spans="2:26" ht="12.75" customHeight="1">
      <c r="B54" s="286"/>
      <c r="E54" s="264"/>
      <c r="F54" s="264"/>
      <c r="O54" s="149"/>
      <c r="P54" s="149"/>
      <c r="V54" s="167"/>
      <c r="W54" s="167"/>
      <c r="X54" s="167"/>
      <c r="Y54" s="167"/>
      <c r="Z54" s="167"/>
    </row>
    <row r="55" spans="2:26" ht="12.75" customHeight="1">
      <c r="E55" s="264"/>
      <c r="F55" s="264"/>
      <c r="O55" s="149"/>
      <c r="P55" s="149"/>
      <c r="V55" s="167"/>
      <c r="W55" s="167"/>
      <c r="X55" s="167"/>
      <c r="Y55" s="167"/>
      <c r="Z55" s="167"/>
    </row>
    <row r="56" spans="2:26" ht="12.75" customHeight="1">
      <c r="E56" s="264"/>
      <c r="F56" s="264"/>
      <c r="O56" s="149"/>
      <c r="P56" s="149"/>
      <c r="V56" s="167"/>
      <c r="W56" s="167"/>
      <c r="X56" s="167"/>
      <c r="Y56" s="167"/>
      <c r="Z56" s="167"/>
    </row>
    <row r="57" spans="2:26" ht="12.75" customHeight="1">
      <c r="B57" s="277" t="s">
        <v>219</v>
      </c>
      <c r="C57" s="278" t="s">
        <v>191</v>
      </c>
      <c r="D57" s="278" t="s">
        <v>191</v>
      </c>
      <c r="E57" s="278" t="s">
        <v>191</v>
      </c>
      <c r="F57" s="264"/>
      <c r="O57" s="149"/>
      <c r="P57" s="149"/>
      <c r="V57" s="167"/>
      <c r="W57" s="167"/>
      <c r="X57" s="167"/>
      <c r="Y57" s="167"/>
      <c r="Z57" s="167"/>
    </row>
    <row r="58" spans="2:26" ht="12.75" customHeight="1">
      <c r="C58" s="279"/>
      <c r="D58" s="280" t="s">
        <v>192</v>
      </c>
      <c r="E58" s="279"/>
      <c r="F58" s="264"/>
      <c r="O58" s="149"/>
      <c r="P58" s="149"/>
      <c r="V58" s="167"/>
      <c r="W58" s="167"/>
      <c r="X58" s="167"/>
      <c r="Y58" s="167"/>
      <c r="Z58" s="167"/>
    </row>
    <row r="59" spans="2:26" ht="12.75" customHeight="1">
      <c r="C59" s="100">
        <v>2016</v>
      </c>
      <c r="D59" s="100">
        <v>2017</v>
      </c>
      <c r="E59" s="100">
        <v>2018</v>
      </c>
      <c r="F59" s="264"/>
      <c r="O59" s="149"/>
      <c r="P59" s="149"/>
      <c r="V59" s="167"/>
      <c r="W59" s="167"/>
      <c r="X59" s="167"/>
      <c r="Y59" s="167"/>
      <c r="Z59" s="167"/>
    </row>
    <row r="60" spans="2:26" ht="12.75" customHeight="1">
      <c r="E60" s="264"/>
      <c r="F60" s="264"/>
      <c r="O60" s="149"/>
      <c r="P60" s="149"/>
      <c r="V60" s="167"/>
      <c r="W60" s="167"/>
      <c r="X60" s="167"/>
      <c r="Y60" s="167"/>
      <c r="Z60" s="167"/>
    </row>
    <row r="61" spans="2:26" ht="12.75" customHeight="1">
      <c r="B61" s="282" t="s">
        <v>160</v>
      </c>
      <c r="C61" s="283" t="s">
        <v>191</v>
      </c>
      <c r="D61" s="283" t="s">
        <v>191</v>
      </c>
      <c r="E61" s="283" t="s">
        <v>191</v>
      </c>
      <c r="F61" s="264"/>
      <c r="O61" s="149"/>
      <c r="P61" s="149"/>
      <c r="V61" s="167"/>
      <c r="W61" s="167"/>
      <c r="X61" s="167"/>
      <c r="Y61" s="167"/>
      <c r="Z61" s="167"/>
    </row>
    <row r="62" spans="2:26" ht="12.75" customHeight="1">
      <c r="B62" s="286" t="s">
        <v>198</v>
      </c>
      <c r="C62" s="166">
        <f>'Ex 2 Balance Sheet'!C6</f>
        <v>264.99168816493801</v>
      </c>
      <c r="D62" s="166">
        <f ca="1">'Ex 2 Balance Sheet'!E6</f>
        <v>191</v>
      </c>
      <c r="E62" s="166">
        <f ca="1">'Ex 2 Balance Sheet'!F6</f>
        <v>191</v>
      </c>
      <c r="F62" s="264"/>
      <c r="O62" s="149"/>
      <c r="P62" s="149"/>
      <c r="V62" s="167"/>
      <c r="W62" s="167"/>
      <c r="X62" s="167"/>
      <c r="Y62" s="167"/>
      <c r="Z62" s="167"/>
    </row>
    <row r="63" spans="2:26" ht="12.75" customHeight="1">
      <c r="B63" s="286" t="s">
        <v>199</v>
      </c>
      <c r="C63" s="166">
        <f>-$C$29</f>
        <v>-200</v>
      </c>
      <c r="D63" s="166">
        <f>-$C$29</f>
        <v>-200</v>
      </c>
      <c r="E63" s="166">
        <f>-$C$29</f>
        <v>-200</v>
      </c>
      <c r="F63" s="264"/>
      <c r="O63" s="149"/>
      <c r="P63" s="149"/>
      <c r="V63" s="167"/>
      <c r="W63" s="167"/>
      <c r="X63" s="167"/>
      <c r="Y63" s="167"/>
      <c r="Z63" s="167"/>
    </row>
    <row r="64" spans="2:26" ht="12.75" customHeight="1">
      <c r="B64" s="292" t="s">
        <v>200</v>
      </c>
      <c r="C64" s="293">
        <f>SUM(C62:C63)</f>
        <v>64.991688164938012</v>
      </c>
      <c r="D64" s="293">
        <f ca="1">SUM(D62:D63)</f>
        <v>-9</v>
      </c>
      <c r="E64" s="293">
        <f ca="1">SUM(E62:E63)</f>
        <v>-9</v>
      </c>
      <c r="F64" s="264"/>
      <c r="O64" s="149"/>
      <c r="P64" s="149"/>
      <c r="V64" s="167"/>
      <c r="W64" s="167"/>
      <c r="X64" s="167"/>
      <c r="Y64" s="167"/>
      <c r="Z64" s="167"/>
    </row>
    <row r="65" spans="2:26" ht="12.75" customHeight="1">
      <c r="B65" s="286" t="s">
        <v>201</v>
      </c>
      <c r="C65" s="294">
        <f ca="1">'Statement of Cash Flows'!D18+'Statement of Cash Flows'!D23</f>
        <v>57.143556683303473</v>
      </c>
      <c r="D65" s="294">
        <f ca="1">'Statement of Cash Flows'!E18+'Statement of Cash Flows'!E23</f>
        <v>-514.31811375426378</v>
      </c>
      <c r="E65" s="294">
        <f ca="1">'Statement of Cash Flows'!F18+'Statement of Cash Flows'!F23</f>
        <v>-260.49279935356628</v>
      </c>
      <c r="F65" s="264"/>
      <c r="O65" s="149"/>
      <c r="P65" s="149"/>
      <c r="V65" s="167"/>
      <c r="W65" s="167"/>
      <c r="X65" s="167"/>
      <c r="Y65" s="167"/>
      <c r="Z65" s="167"/>
    </row>
    <row r="66" spans="2:26" ht="12.75" customHeight="1">
      <c r="B66" s="286" t="s">
        <v>202</v>
      </c>
      <c r="C66" s="294">
        <f ca="1">C65+C64</f>
        <v>122.13524484824148</v>
      </c>
      <c r="D66" s="294">
        <f ca="1">D65+D64</f>
        <v>-523.31811375426378</v>
      </c>
      <c r="E66" s="294">
        <f ca="1">E65+E64</f>
        <v>-269.49279935356628</v>
      </c>
      <c r="F66" s="264"/>
      <c r="O66" s="149"/>
      <c r="P66" s="149"/>
      <c r="V66" s="167"/>
      <c r="W66" s="167"/>
      <c r="X66" s="167"/>
      <c r="Y66" s="167"/>
      <c r="Z66" s="167"/>
    </row>
    <row r="67" spans="2:26" ht="12.75" customHeight="1">
      <c r="E67" s="264"/>
      <c r="F67" s="264"/>
      <c r="O67" s="149"/>
      <c r="P67" s="149"/>
      <c r="V67" s="167"/>
      <c r="W67" s="167"/>
      <c r="X67" s="167"/>
      <c r="Y67" s="167"/>
      <c r="Z67" s="167"/>
    </row>
    <row r="68" spans="2:26" ht="12.75" customHeight="1">
      <c r="B68" s="286" t="s">
        <v>203</v>
      </c>
      <c r="C68" s="295">
        <f>$F$10-C71</f>
        <v>405.8</v>
      </c>
      <c r="D68" s="295">
        <f ca="1">$F$10-D71</f>
        <v>527.9352448482415</v>
      </c>
      <c r="E68" s="295">
        <f ca="1">$F$10-E71</f>
        <v>4.6171310939777186</v>
      </c>
      <c r="F68" s="264"/>
      <c r="O68" s="149"/>
      <c r="P68" s="149"/>
      <c r="V68" s="167"/>
      <c r="W68" s="167"/>
      <c r="X68" s="167"/>
      <c r="Y68" s="167"/>
      <c r="Z68" s="167"/>
    </row>
    <row r="69" spans="2:26" ht="12.75" customHeight="1">
      <c r="B69" s="286" t="s">
        <v>204</v>
      </c>
      <c r="C69" s="295">
        <f ca="1">$F$10-C73</f>
        <v>527.9352448482415</v>
      </c>
      <c r="D69" s="295">
        <f ca="1">$F$10-D73</f>
        <v>4.6171310939777186</v>
      </c>
      <c r="E69" s="295">
        <f ca="1">$F$10-E73</f>
        <v>0</v>
      </c>
      <c r="F69" s="264"/>
      <c r="O69" s="149"/>
      <c r="P69" s="149"/>
      <c r="V69" s="167"/>
      <c r="W69" s="167"/>
      <c r="X69" s="167"/>
      <c r="Y69" s="167"/>
      <c r="Z69" s="167"/>
    </row>
    <row r="70" spans="2:26" ht="12.75" customHeight="1">
      <c r="E70" s="264"/>
      <c r="F70" s="264"/>
      <c r="O70" s="149"/>
      <c r="P70" s="149"/>
      <c r="V70" s="167"/>
      <c r="W70" s="167"/>
      <c r="X70" s="167"/>
      <c r="Y70" s="167"/>
      <c r="Z70" s="167"/>
    </row>
    <row r="71" spans="2:26" ht="12.75" customHeight="1">
      <c r="B71" s="286" t="s">
        <v>205</v>
      </c>
      <c r="C71" s="295">
        <f>G10-C23</f>
        <v>344.2</v>
      </c>
      <c r="D71" s="295">
        <f ca="1">C73</f>
        <v>222.0647551517585</v>
      </c>
      <c r="E71" s="295">
        <f ca="1">D73</f>
        <v>745.38286890602228</v>
      </c>
      <c r="F71" s="264"/>
      <c r="O71" s="149"/>
      <c r="P71" s="149"/>
      <c r="V71" s="167"/>
      <c r="W71" s="167"/>
      <c r="X71" s="167"/>
      <c r="Y71" s="167"/>
      <c r="Z71" s="167"/>
    </row>
    <row r="72" spans="2:26" ht="12.75" customHeight="1">
      <c r="B72" s="286" t="s">
        <v>206</v>
      </c>
      <c r="C72" s="166">
        <f ca="1">IF(C66&lt;0,MIN(-C66,C68),MAX(-C66,-C71+125))</f>
        <v>-122.13524484824148</v>
      </c>
      <c r="D72" s="166">
        <f ca="1">IF(D66&lt;0,MIN(-D66,D68),MAX(-D66,-D71+125))</f>
        <v>523.31811375426378</v>
      </c>
      <c r="E72" s="166">
        <f ca="1">IF(E66&lt;0,MIN(-E66,E68),MAX(-E66,-E71+125))</f>
        <v>4.6171310939777186</v>
      </c>
      <c r="F72" s="264"/>
      <c r="O72" s="149"/>
      <c r="P72" s="149"/>
      <c r="V72" s="167"/>
      <c r="W72" s="167"/>
      <c r="X72" s="167"/>
      <c r="Y72" s="167"/>
      <c r="Z72" s="167"/>
    </row>
    <row r="73" spans="2:26" ht="12.75" customHeight="1">
      <c r="B73" s="296" t="s">
        <v>207</v>
      </c>
      <c r="C73" s="297">
        <f ca="1">SUM(C71:C72)</f>
        <v>222.0647551517585</v>
      </c>
      <c r="D73" s="297">
        <f ca="1">SUM(D71:D72)</f>
        <v>745.38286890602228</v>
      </c>
      <c r="E73" s="297">
        <f ca="1">SUM(E71:E72)</f>
        <v>750</v>
      </c>
      <c r="F73" s="264"/>
      <c r="O73" s="149"/>
      <c r="P73" s="149"/>
      <c r="V73" s="167"/>
      <c r="W73" s="167"/>
      <c r="X73" s="167"/>
      <c r="Y73" s="167"/>
      <c r="Z73" s="167"/>
    </row>
    <row r="74" spans="2:26" ht="12.75" customHeight="1">
      <c r="E74" s="264"/>
      <c r="F74" s="264"/>
      <c r="O74" s="149"/>
      <c r="P74" s="149"/>
      <c r="V74" s="167"/>
      <c r="W74" s="167"/>
      <c r="X74" s="167"/>
      <c r="Y74" s="167"/>
      <c r="Z74" s="167"/>
    </row>
    <row r="75" spans="2:26" ht="12.75" customHeight="1">
      <c r="B75" s="286"/>
      <c r="C75" s="281"/>
      <c r="D75" s="281"/>
      <c r="E75" s="281"/>
      <c r="F75" s="264"/>
      <c r="O75" s="149"/>
      <c r="P75" s="149"/>
      <c r="V75" s="167"/>
      <c r="W75" s="167"/>
      <c r="X75" s="167"/>
      <c r="Y75" s="167"/>
      <c r="Z75" s="167"/>
    </row>
    <row r="76" spans="2:26" ht="12.75" customHeight="1">
      <c r="B76" s="286"/>
      <c r="C76" s="295"/>
      <c r="E76" s="264"/>
      <c r="F76" s="264"/>
      <c r="O76" s="149"/>
      <c r="P76" s="149"/>
      <c r="V76" s="167"/>
      <c r="W76" s="167"/>
      <c r="X76" s="167"/>
      <c r="Y76" s="167"/>
      <c r="Z76" s="167"/>
    </row>
    <row r="77" spans="2:26" ht="12.75" customHeight="1">
      <c r="B77" s="286"/>
      <c r="E77" s="264"/>
      <c r="F77" s="264"/>
      <c r="O77" s="149"/>
      <c r="P77" s="149"/>
      <c r="V77" s="167"/>
      <c r="W77" s="167"/>
      <c r="X77" s="167"/>
      <c r="Y77" s="167"/>
      <c r="Z77" s="167"/>
    </row>
    <row r="78" spans="2:26" ht="12.75" customHeight="1">
      <c r="E78" s="264"/>
      <c r="F78" s="264"/>
      <c r="O78" s="149"/>
      <c r="P78" s="149"/>
      <c r="V78" s="167"/>
      <c r="W78" s="167"/>
      <c r="X78" s="167"/>
      <c r="Y78" s="167"/>
      <c r="Z78" s="167"/>
    </row>
    <row r="79" spans="2:26" ht="12.75" customHeight="1">
      <c r="B79" s="288"/>
      <c r="C79" s="265"/>
      <c r="D79" s="265"/>
      <c r="E79" s="265"/>
      <c r="F79" s="264"/>
      <c r="O79" s="149"/>
      <c r="P79" s="149"/>
      <c r="V79" s="167"/>
      <c r="W79" s="167"/>
      <c r="X79" s="167"/>
      <c r="Y79" s="167"/>
      <c r="Z79" s="167"/>
    </row>
    <row r="80" spans="2:26" ht="12.75" customHeight="1">
      <c r="B80" s="286"/>
      <c r="E80" s="264"/>
      <c r="F80" s="264"/>
      <c r="O80" s="149"/>
      <c r="P80" s="149"/>
      <c r="V80" s="167"/>
      <c r="W80" s="167"/>
      <c r="X80" s="167"/>
      <c r="Y80" s="167"/>
      <c r="Z80" s="167"/>
    </row>
    <row r="81" spans="2:26" ht="12.75" customHeight="1">
      <c r="E81" s="264"/>
      <c r="F81" s="264"/>
      <c r="O81" s="149"/>
      <c r="P81" s="149"/>
      <c r="V81" s="167"/>
      <c r="W81" s="167"/>
      <c r="X81" s="167"/>
      <c r="Y81" s="167"/>
      <c r="Z81" s="167"/>
    </row>
    <row r="82" spans="2:26" ht="12.75" customHeight="1">
      <c r="B82" s="290" t="s">
        <v>196</v>
      </c>
      <c r="C82" s="298" t="s">
        <v>191</v>
      </c>
      <c r="D82" s="298" t="s">
        <v>191</v>
      </c>
      <c r="E82" s="298" t="s">
        <v>191</v>
      </c>
      <c r="F82" s="264"/>
      <c r="O82" s="149"/>
      <c r="P82" s="149"/>
      <c r="V82" s="167"/>
      <c r="W82" s="167"/>
      <c r="X82" s="167"/>
      <c r="Y82" s="167"/>
      <c r="Z82" s="167"/>
    </row>
    <row r="83" spans="2:26" ht="12.75" customHeight="1">
      <c r="B83" s="282" t="s">
        <v>212</v>
      </c>
      <c r="C83" s="283" t="s">
        <v>191</v>
      </c>
      <c r="D83" s="283" t="s">
        <v>191</v>
      </c>
      <c r="E83" s="283" t="s">
        <v>191</v>
      </c>
      <c r="F83" s="264"/>
      <c r="O83" s="149"/>
      <c r="P83" s="149"/>
      <c r="V83" s="167"/>
      <c r="W83" s="167"/>
      <c r="X83" s="167"/>
      <c r="Y83" s="167"/>
      <c r="Z83" s="167"/>
    </row>
    <row r="84" spans="2:26" ht="12.75" customHeight="1">
      <c r="B84" s="286" t="s">
        <v>194</v>
      </c>
      <c r="C84" s="287">
        <f>C71+C23</f>
        <v>219.2</v>
      </c>
      <c r="D84" s="287">
        <f ca="1">C88</f>
        <v>97.064755151758504</v>
      </c>
      <c r="E84" s="287">
        <f ca="1">D88</f>
        <v>620.38286890602228</v>
      </c>
      <c r="F84" s="264"/>
      <c r="O84" s="149"/>
      <c r="P84" s="149"/>
      <c r="V84" s="167"/>
      <c r="W84" s="167"/>
      <c r="X84" s="167"/>
      <c r="Y84" s="167"/>
      <c r="Z84" s="167"/>
    </row>
    <row r="85" spans="2:26" ht="12.75" customHeight="1">
      <c r="B85" s="288"/>
      <c r="C85" s="265"/>
      <c r="D85" s="265"/>
      <c r="E85" s="265"/>
      <c r="F85" s="264"/>
      <c r="O85" s="149"/>
      <c r="P85" s="149"/>
      <c r="V85" s="167"/>
      <c r="W85" s="167"/>
      <c r="X85" s="167"/>
      <c r="Y85" s="167"/>
      <c r="Z85" s="167"/>
    </row>
    <row r="86" spans="2:26" ht="12.75" customHeight="1">
      <c r="B86" s="286" t="s">
        <v>211</v>
      </c>
      <c r="C86" s="289">
        <f ca="1">AVERAGE(C84,C88)*(C35+3.5%)</f>
        <v>7.4480349838239128</v>
      </c>
      <c r="D86" s="289">
        <f ca="1">AVERAGE(D84,D88)*($C$38+3.5%)</f>
        <v>19.012362037531194</v>
      </c>
      <c r="E86" s="289">
        <f ca="1">AVERAGE(E84,E88)*($C$38+3.5%)</f>
        <v>33.0026460260096</v>
      </c>
      <c r="F86" s="264"/>
      <c r="O86" s="149"/>
      <c r="P86" s="149"/>
      <c r="V86" s="167"/>
      <c r="W86" s="167"/>
      <c r="X86" s="167"/>
      <c r="Y86" s="167"/>
      <c r="Z86" s="167"/>
    </row>
    <row r="87" spans="2:26" ht="12.75" customHeight="1">
      <c r="E87" s="264"/>
      <c r="F87" s="264"/>
      <c r="O87" s="149"/>
      <c r="P87" s="149"/>
      <c r="V87" s="167"/>
      <c r="W87" s="167"/>
      <c r="X87" s="167"/>
      <c r="Y87" s="167"/>
      <c r="Z87" s="167"/>
    </row>
    <row r="88" spans="2:26" ht="12.75" customHeight="1">
      <c r="B88" s="290" t="s">
        <v>196</v>
      </c>
      <c r="C88" s="291">
        <f ca="1">C73+$C$23</f>
        <v>97.064755151758504</v>
      </c>
      <c r="D88" s="291">
        <f ca="1">D73+$C$23</f>
        <v>620.38286890602228</v>
      </c>
      <c r="E88" s="291">
        <f ca="1">E73+$C$23</f>
        <v>625</v>
      </c>
      <c r="F88" s="264"/>
      <c r="O88" s="149"/>
      <c r="P88" s="149"/>
      <c r="V88" s="167"/>
      <c r="W88" s="167"/>
      <c r="X88" s="167"/>
      <c r="Y88" s="167"/>
      <c r="Z88" s="167"/>
    </row>
    <row r="89" spans="2:26" ht="12.75" customHeight="1">
      <c r="B89" s="282" t="s">
        <v>213</v>
      </c>
      <c r="C89" s="283" t="s">
        <v>191</v>
      </c>
      <c r="D89" s="283" t="s">
        <v>191</v>
      </c>
      <c r="E89" s="283" t="s">
        <v>191</v>
      </c>
      <c r="F89" s="264"/>
      <c r="O89" s="149"/>
      <c r="P89" s="149"/>
      <c r="V89" s="167"/>
      <c r="W89" s="167"/>
      <c r="X89" s="167"/>
      <c r="Y89" s="167"/>
      <c r="Z89" s="167"/>
    </row>
    <row r="90" spans="2:26" ht="12.75" customHeight="1">
      <c r="B90" s="286" t="s">
        <v>194</v>
      </c>
      <c r="C90" s="287">
        <f>G11</f>
        <v>1764</v>
      </c>
      <c r="D90" s="287">
        <f>C96</f>
        <v>1764</v>
      </c>
      <c r="E90" s="287">
        <f>D96</f>
        <v>1764</v>
      </c>
      <c r="F90" s="264"/>
      <c r="O90" s="149"/>
      <c r="P90" s="149"/>
      <c r="V90" s="167"/>
      <c r="W90" s="167"/>
      <c r="X90" s="167"/>
      <c r="Y90" s="167"/>
      <c r="Z90" s="167"/>
    </row>
    <row r="91" spans="2:26" ht="12.75" customHeight="1">
      <c r="B91" s="286" t="s">
        <v>209</v>
      </c>
      <c r="E91" s="264"/>
      <c r="F91" s="264"/>
      <c r="O91" s="149"/>
      <c r="P91" s="149"/>
      <c r="V91" s="167"/>
      <c r="W91" s="167"/>
      <c r="X91" s="167"/>
      <c r="Y91" s="167"/>
      <c r="Z91" s="167"/>
    </row>
    <row r="92" spans="2:26" ht="12.75" customHeight="1">
      <c r="E92" s="264"/>
      <c r="F92" s="264"/>
      <c r="O92" s="149"/>
      <c r="P92" s="149"/>
      <c r="V92" s="167"/>
      <c r="W92" s="167"/>
      <c r="X92" s="167"/>
      <c r="Y92" s="167"/>
      <c r="Z92" s="167"/>
    </row>
    <row r="93" spans="2:26" ht="12.75" customHeight="1">
      <c r="B93" s="288" t="s">
        <v>210</v>
      </c>
      <c r="C93" s="265">
        <v>0</v>
      </c>
      <c r="D93" s="265">
        <v>0</v>
      </c>
      <c r="E93" s="265">
        <v>0</v>
      </c>
      <c r="F93" s="264"/>
      <c r="O93" s="149"/>
      <c r="P93" s="149"/>
      <c r="V93" s="167"/>
      <c r="W93" s="167"/>
      <c r="X93" s="167"/>
      <c r="Y93" s="167"/>
      <c r="Z93" s="167"/>
    </row>
    <row r="94" spans="2:26" ht="12.75" customHeight="1">
      <c r="B94" s="286" t="s">
        <v>211</v>
      </c>
      <c r="C94" s="289">
        <f>AVERAGE(C90,C96)*(C35+3.5%)</f>
        <v>83.084400000000002</v>
      </c>
      <c r="D94" s="289">
        <f>AVERAGE(D90,D96)*($C$38+3.5%)</f>
        <v>93.492000000000004</v>
      </c>
      <c r="E94" s="289">
        <f>AVERAGE(E90,E96)*($C$38+3.5%)</f>
        <v>93.492000000000004</v>
      </c>
      <c r="F94" s="264"/>
      <c r="O94" s="149"/>
      <c r="P94" s="149"/>
      <c r="V94" s="167"/>
      <c r="W94" s="167"/>
      <c r="X94" s="167"/>
      <c r="Y94" s="167"/>
      <c r="Z94" s="167"/>
    </row>
    <row r="95" spans="2:26" ht="12.75" customHeight="1">
      <c r="E95" s="264"/>
      <c r="F95" s="264"/>
      <c r="O95" s="149"/>
      <c r="P95" s="149"/>
      <c r="V95" s="167"/>
      <c r="W95" s="167"/>
      <c r="X95" s="167"/>
      <c r="Y95" s="167"/>
      <c r="Z95" s="167"/>
    </row>
    <row r="96" spans="2:26" ht="12.75" customHeight="1">
      <c r="B96" s="290" t="s">
        <v>196</v>
      </c>
      <c r="C96" s="291">
        <f>C90+C91</f>
        <v>1764</v>
      </c>
      <c r="D96" s="291">
        <f>D90+D91</f>
        <v>1764</v>
      </c>
      <c r="E96" s="291">
        <f>E90+E91</f>
        <v>1764</v>
      </c>
      <c r="F96" s="264"/>
      <c r="O96" s="149"/>
      <c r="P96" s="149"/>
      <c r="V96" s="167"/>
      <c r="W96" s="167"/>
      <c r="X96" s="167"/>
      <c r="Y96" s="167"/>
      <c r="Z96" s="167"/>
    </row>
    <row r="97" spans="2:26" ht="12.75" customHeight="1">
      <c r="B97" s="282" t="s">
        <v>214</v>
      </c>
      <c r="C97" s="283" t="s">
        <v>191</v>
      </c>
      <c r="D97" s="283" t="s">
        <v>191</v>
      </c>
      <c r="E97" s="283" t="s">
        <v>191</v>
      </c>
      <c r="F97" s="264"/>
      <c r="O97" s="149"/>
      <c r="P97" s="149"/>
      <c r="V97" s="167"/>
      <c r="W97" s="167"/>
      <c r="X97" s="167"/>
      <c r="Y97" s="167"/>
      <c r="Z97" s="167"/>
    </row>
    <row r="98" spans="2:26" ht="12.75" customHeight="1">
      <c r="B98" s="286" t="s">
        <v>194</v>
      </c>
      <c r="C98" s="287">
        <f>G12</f>
        <v>1500</v>
      </c>
      <c r="D98" s="287">
        <f>C104</f>
        <v>1500</v>
      </c>
      <c r="E98" s="287">
        <f>D104</f>
        <v>1500</v>
      </c>
      <c r="F98" s="264"/>
      <c r="O98" s="149"/>
      <c r="P98" s="149"/>
      <c r="V98" s="167"/>
      <c r="W98" s="167"/>
      <c r="X98" s="167"/>
      <c r="Y98" s="167"/>
      <c r="Z98" s="167"/>
    </row>
    <row r="99" spans="2:26" ht="12.75" customHeight="1">
      <c r="B99" s="286" t="s">
        <v>209</v>
      </c>
      <c r="E99" s="264"/>
      <c r="F99" s="264"/>
      <c r="O99" s="149"/>
      <c r="P99" s="149"/>
      <c r="V99" s="167"/>
      <c r="W99" s="167"/>
      <c r="X99" s="167"/>
      <c r="Y99" s="167"/>
      <c r="Z99" s="167"/>
    </row>
    <row r="100" spans="2:26" ht="12.75" customHeight="1">
      <c r="E100" s="264"/>
      <c r="F100" s="264"/>
      <c r="O100" s="149"/>
      <c r="P100" s="149"/>
      <c r="V100" s="167"/>
      <c r="W100" s="167"/>
      <c r="X100" s="167"/>
      <c r="Y100" s="167"/>
      <c r="Z100" s="167"/>
    </row>
    <row r="101" spans="2:26" ht="12.75" customHeight="1">
      <c r="B101" s="288" t="s">
        <v>210</v>
      </c>
      <c r="C101" s="265">
        <v>0</v>
      </c>
      <c r="D101" s="265">
        <v>0</v>
      </c>
      <c r="E101" s="265">
        <v>0</v>
      </c>
      <c r="F101" s="264"/>
      <c r="O101" s="149"/>
      <c r="P101" s="149"/>
      <c r="V101" s="167"/>
      <c r="W101" s="167"/>
      <c r="X101" s="167"/>
      <c r="Y101" s="167"/>
      <c r="Z101" s="167"/>
    </row>
    <row r="102" spans="2:26" ht="12.75" customHeight="1">
      <c r="B102" s="286" t="s">
        <v>211</v>
      </c>
      <c r="C102">
        <f>AVERAGE(C98,C104)*$O$12</f>
        <v>150</v>
      </c>
      <c r="D102">
        <f>AVERAGE(D98,D104)*$O$12</f>
        <v>150</v>
      </c>
      <c r="E102">
        <f>AVERAGE(E98,E104)*$O$12</f>
        <v>150</v>
      </c>
      <c r="F102" s="264"/>
      <c r="O102" s="149"/>
      <c r="P102" s="149"/>
      <c r="V102" s="167"/>
      <c r="W102" s="167"/>
      <c r="X102" s="167"/>
      <c r="Y102" s="167"/>
      <c r="Z102" s="167"/>
    </row>
    <row r="103" spans="2:26" ht="12.75" customHeight="1">
      <c r="E103" s="264"/>
      <c r="F103" s="264"/>
      <c r="O103" s="149"/>
      <c r="P103" s="149"/>
      <c r="V103" s="167"/>
      <c r="W103" s="167"/>
      <c r="X103" s="167"/>
      <c r="Y103" s="167"/>
      <c r="Z103" s="167"/>
    </row>
    <row r="104" spans="2:26" ht="12.75" customHeight="1">
      <c r="B104" s="290" t="s">
        <v>196</v>
      </c>
      <c r="C104" s="291">
        <f>C98+C99</f>
        <v>1500</v>
      </c>
      <c r="D104" s="291">
        <f>D98+D99</f>
        <v>1500</v>
      </c>
      <c r="E104" s="291">
        <f>E98+E99</f>
        <v>1500</v>
      </c>
      <c r="F104" s="264"/>
      <c r="O104" s="149"/>
      <c r="P104" s="149"/>
      <c r="V104" s="167"/>
      <c r="W104" s="167"/>
      <c r="X104" s="167"/>
      <c r="Y104" s="167"/>
      <c r="Z104" s="167"/>
    </row>
    <row r="105" spans="2:26" ht="12.75" customHeight="1">
      <c r="E105" s="264"/>
      <c r="F105" s="264"/>
      <c r="O105" s="149"/>
      <c r="P105" s="149"/>
      <c r="V105" s="167"/>
      <c r="W105" s="167"/>
      <c r="X105" s="167"/>
      <c r="Y105" s="167"/>
      <c r="Z105" s="167"/>
    </row>
    <row r="106" spans="2:26" ht="12.75" customHeight="1">
      <c r="B106" s="300" t="s">
        <v>216</v>
      </c>
      <c r="C106" s="301">
        <f ca="1">C86+C94+C102</f>
        <v>240.53243498382392</v>
      </c>
      <c r="D106" s="301">
        <f ca="1">D86+D94+D102</f>
        <v>262.50436203753122</v>
      </c>
      <c r="E106" s="301">
        <f ca="1">E86+E94+E102</f>
        <v>276.4946460260096</v>
      </c>
      <c r="F106" s="264"/>
      <c r="O106" s="149"/>
      <c r="P106" s="149"/>
      <c r="V106" s="167"/>
      <c r="W106" s="167"/>
      <c r="X106" s="167"/>
      <c r="Y106" s="167"/>
      <c r="Z106" s="167"/>
    </row>
    <row r="107" spans="2:26" ht="12.75" customHeight="1">
      <c r="E107" s="264"/>
      <c r="F107" s="264"/>
      <c r="O107" s="149"/>
      <c r="P107" s="149"/>
      <c r="V107" s="167"/>
      <c r="W107" s="167"/>
      <c r="X107" s="167"/>
      <c r="Y107" s="167"/>
      <c r="Z107" s="167"/>
    </row>
    <row r="108" spans="2:26" ht="12.75" customHeight="1">
      <c r="E108" s="264"/>
      <c r="F108" s="264"/>
      <c r="O108" s="149"/>
      <c r="P108" s="149"/>
      <c r="V108" s="167"/>
      <c r="W108" s="167"/>
      <c r="X108" s="167"/>
      <c r="Y108" s="167"/>
      <c r="Z108" s="167"/>
    </row>
    <row r="109" spans="2:26" ht="12.75" customHeight="1">
      <c r="E109" s="264"/>
      <c r="F109" s="264"/>
      <c r="O109" s="149"/>
      <c r="P109" s="149"/>
      <c r="V109" s="167"/>
      <c r="W109" s="167"/>
      <c r="X109" s="167"/>
      <c r="Y109" s="167"/>
      <c r="Z109" s="167"/>
    </row>
    <row r="110" spans="2:26" ht="12.75" customHeight="1">
      <c r="E110" s="264"/>
      <c r="F110" s="264"/>
      <c r="O110" s="149"/>
      <c r="P110" s="149"/>
      <c r="V110" s="167"/>
      <c r="W110" s="167"/>
      <c r="X110" s="167"/>
      <c r="Y110" s="167"/>
      <c r="Z110" s="167"/>
    </row>
    <row r="111" spans="2:26" ht="12.75" customHeight="1">
      <c r="E111" s="264"/>
      <c r="F111" s="264"/>
      <c r="O111" s="149"/>
      <c r="P111" s="149"/>
      <c r="V111" s="167"/>
      <c r="W111" s="167"/>
      <c r="X111" s="167"/>
      <c r="Y111" s="167"/>
      <c r="Z111" s="167"/>
    </row>
    <row r="112" spans="2:26" ht="12.75" customHeight="1">
      <c r="E112" s="264"/>
      <c r="F112" s="264"/>
      <c r="O112" s="149"/>
      <c r="P112" s="149"/>
      <c r="V112" s="167"/>
      <c r="W112" s="167"/>
      <c r="X112" s="167"/>
      <c r="Y112" s="167"/>
      <c r="Z112" s="167"/>
    </row>
    <row r="113" spans="5:26" ht="12.75" customHeight="1">
      <c r="E113" s="264"/>
      <c r="F113" s="264"/>
      <c r="O113" s="149"/>
      <c r="P113" s="149"/>
      <c r="V113" s="167"/>
      <c r="W113" s="167"/>
      <c r="X113" s="167"/>
      <c r="Y113" s="167"/>
      <c r="Z113" s="167"/>
    </row>
    <row r="114" spans="5:26" ht="12.75" customHeight="1">
      <c r="E114" s="264"/>
      <c r="F114" s="264"/>
      <c r="O114" s="149"/>
      <c r="P114" s="149"/>
      <c r="V114" s="167"/>
      <c r="W114" s="167"/>
      <c r="X114" s="167"/>
      <c r="Y114" s="167"/>
      <c r="Z114" s="167"/>
    </row>
    <row r="115" spans="5:26" ht="12.75" customHeight="1">
      <c r="E115" s="264"/>
      <c r="F115" s="264"/>
      <c r="O115" s="149"/>
      <c r="P115" s="149"/>
      <c r="V115" s="167"/>
      <c r="W115" s="167"/>
      <c r="X115" s="167"/>
      <c r="Y115" s="167"/>
      <c r="Z115" s="167"/>
    </row>
    <row r="116" spans="5:26" ht="12.75" customHeight="1">
      <c r="E116" s="264"/>
      <c r="F116" s="264"/>
      <c r="O116" s="149"/>
      <c r="P116" s="149"/>
      <c r="V116" s="167"/>
      <c r="W116" s="167"/>
      <c r="X116" s="167"/>
      <c r="Y116" s="167"/>
      <c r="Z116" s="167"/>
    </row>
    <row r="117" spans="5:26" ht="12.75" customHeight="1">
      <c r="E117" s="264"/>
      <c r="F117" s="264"/>
      <c r="O117" s="149"/>
      <c r="P117" s="149"/>
      <c r="V117" s="167"/>
      <c r="W117" s="167"/>
      <c r="X117" s="167"/>
      <c r="Y117" s="167"/>
      <c r="Z117" s="167"/>
    </row>
    <row r="118" spans="5:26" ht="12.75" customHeight="1">
      <c r="E118" s="264"/>
      <c r="F118" s="264"/>
      <c r="O118" s="149"/>
      <c r="P118" s="149"/>
      <c r="V118" s="167"/>
      <c r="W118" s="167"/>
      <c r="X118" s="167"/>
      <c r="Y118" s="167"/>
      <c r="Z118" s="167"/>
    </row>
    <row r="119" spans="5:26" ht="12.75" customHeight="1">
      <c r="E119" s="264"/>
      <c r="F119" s="264"/>
      <c r="O119" s="149"/>
      <c r="P119" s="149"/>
      <c r="V119" s="167"/>
      <c r="W119" s="167"/>
      <c r="X119" s="167"/>
      <c r="Y119" s="167"/>
      <c r="Z119" s="167"/>
    </row>
    <row r="120" spans="5:26" ht="12.75" customHeight="1">
      <c r="E120" s="264"/>
      <c r="F120" s="264"/>
      <c r="O120" s="149"/>
      <c r="P120" s="149"/>
      <c r="V120" s="167"/>
      <c r="W120" s="167"/>
      <c r="X120" s="167"/>
      <c r="Y120" s="167"/>
      <c r="Z120" s="167"/>
    </row>
    <row r="121" spans="5:26" ht="12.75" customHeight="1">
      <c r="E121" s="264"/>
      <c r="F121" s="264"/>
      <c r="O121" s="149"/>
      <c r="P121" s="149"/>
      <c r="V121" s="167"/>
      <c r="W121" s="167"/>
      <c r="X121" s="167"/>
      <c r="Y121" s="167"/>
      <c r="Z121" s="167"/>
    </row>
    <row r="122" spans="5:26" ht="12.75" customHeight="1">
      <c r="E122" s="264"/>
      <c r="F122" s="264"/>
      <c r="O122" s="149"/>
      <c r="P122" s="149"/>
      <c r="V122" s="167"/>
      <c r="W122" s="167"/>
      <c r="X122" s="167"/>
      <c r="Y122" s="167"/>
      <c r="Z122" s="167"/>
    </row>
    <row r="123" spans="5:26" ht="12.75" customHeight="1">
      <c r="E123" s="264"/>
      <c r="F123" s="264"/>
      <c r="O123" s="149"/>
      <c r="P123" s="149"/>
      <c r="V123" s="167"/>
      <c r="W123" s="167"/>
      <c r="X123" s="167"/>
      <c r="Y123" s="167"/>
      <c r="Z123" s="167"/>
    </row>
    <row r="124" spans="5:26" ht="12.75" customHeight="1">
      <c r="E124" s="264"/>
      <c r="F124" s="264"/>
      <c r="O124" s="149"/>
      <c r="P124" s="149"/>
      <c r="V124" s="167"/>
      <c r="W124" s="167"/>
      <c r="X124" s="167"/>
      <c r="Y124" s="167"/>
      <c r="Z124" s="167"/>
    </row>
    <row r="125" spans="5:26" ht="12.75" customHeight="1">
      <c r="E125" s="264"/>
      <c r="F125" s="264"/>
      <c r="O125" s="149"/>
      <c r="P125" s="149"/>
      <c r="V125" s="167"/>
      <c r="W125" s="167"/>
      <c r="X125" s="167"/>
      <c r="Y125" s="167"/>
      <c r="Z125" s="167"/>
    </row>
    <row r="126" spans="5:26" ht="12.75" customHeight="1">
      <c r="E126" s="264"/>
      <c r="F126" s="264"/>
      <c r="O126" s="149"/>
      <c r="P126" s="149"/>
      <c r="V126" s="167"/>
      <c r="W126" s="167"/>
      <c r="X126" s="167"/>
      <c r="Y126" s="167"/>
      <c r="Z126" s="167"/>
    </row>
    <row r="127" spans="5:26" ht="12.75" customHeight="1">
      <c r="E127" s="264"/>
      <c r="F127" s="264"/>
      <c r="O127" s="149"/>
      <c r="P127" s="149"/>
      <c r="V127" s="167"/>
      <c r="W127" s="167"/>
      <c r="X127" s="167"/>
      <c r="Y127" s="167"/>
      <c r="Z127" s="167"/>
    </row>
    <row r="128" spans="5:26" ht="12.75" customHeight="1">
      <c r="E128" s="264"/>
      <c r="F128" s="264"/>
      <c r="O128" s="149"/>
      <c r="P128" s="149"/>
      <c r="V128" s="167"/>
      <c r="W128" s="167"/>
      <c r="X128" s="167"/>
      <c r="Y128" s="167"/>
      <c r="Z128" s="167"/>
    </row>
    <row r="129" spans="5:26" ht="12.75" customHeight="1">
      <c r="E129" s="264"/>
      <c r="F129" s="264"/>
      <c r="O129" s="149"/>
      <c r="P129" s="149"/>
      <c r="V129" s="167"/>
      <c r="W129" s="167"/>
      <c r="X129" s="167"/>
      <c r="Y129" s="167"/>
      <c r="Z129" s="167"/>
    </row>
    <row r="130" spans="5:26" ht="12.75" customHeight="1">
      <c r="E130" s="264"/>
      <c r="F130" s="264"/>
      <c r="O130" s="149"/>
      <c r="P130" s="149"/>
      <c r="V130" s="167"/>
      <c r="W130" s="167"/>
      <c r="X130" s="167"/>
      <c r="Y130" s="167"/>
      <c r="Z130" s="167"/>
    </row>
    <row r="131" spans="5:26" ht="12.75" customHeight="1">
      <c r="E131" s="264"/>
      <c r="F131" s="264"/>
      <c r="O131" s="149"/>
      <c r="P131" s="149"/>
      <c r="V131" s="167"/>
      <c r="W131" s="167"/>
      <c r="X131" s="167"/>
      <c r="Y131" s="167"/>
      <c r="Z131" s="167"/>
    </row>
    <row r="132" spans="5:26" ht="12.75" customHeight="1">
      <c r="E132" s="264"/>
      <c r="F132" s="264"/>
      <c r="O132" s="149"/>
      <c r="P132" s="149"/>
      <c r="V132" s="167"/>
      <c r="W132" s="167"/>
      <c r="X132" s="167"/>
      <c r="Y132" s="167"/>
      <c r="Z132" s="167"/>
    </row>
    <row r="133" spans="5:26" ht="12.75" customHeight="1">
      <c r="E133" s="264"/>
      <c r="F133" s="264"/>
      <c r="O133" s="149"/>
      <c r="P133" s="149"/>
      <c r="V133" s="167"/>
      <c r="W133" s="167"/>
      <c r="X133" s="167"/>
      <c r="Y133" s="167"/>
      <c r="Z133" s="167"/>
    </row>
    <row r="134" spans="5:26" ht="12.75" customHeight="1">
      <c r="E134" s="264"/>
      <c r="F134" s="264"/>
      <c r="O134" s="149"/>
      <c r="P134" s="149"/>
      <c r="V134" s="167"/>
      <c r="W134" s="167"/>
      <c r="X134" s="167"/>
      <c r="Y134" s="167"/>
      <c r="Z134" s="167"/>
    </row>
    <row r="135" spans="5:26" ht="12.75" customHeight="1">
      <c r="E135" s="264"/>
      <c r="F135" s="264"/>
      <c r="O135" s="149"/>
      <c r="P135" s="149"/>
      <c r="V135" s="167"/>
      <c r="W135" s="167"/>
      <c r="X135" s="167"/>
      <c r="Y135" s="167"/>
      <c r="Z135" s="167"/>
    </row>
    <row r="136" spans="5:26" ht="12.75" customHeight="1">
      <c r="E136" s="264"/>
      <c r="F136" s="264"/>
      <c r="O136" s="149"/>
      <c r="P136" s="149"/>
      <c r="V136" s="167"/>
      <c r="W136" s="167"/>
      <c r="X136" s="167"/>
      <c r="Y136" s="167"/>
      <c r="Z136" s="167"/>
    </row>
    <row r="137" spans="5:26" ht="12.75" customHeight="1">
      <c r="E137" s="264"/>
      <c r="F137" s="264"/>
      <c r="O137" s="149"/>
      <c r="P137" s="149"/>
      <c r="V137" s="167"/>
      <c r="W137" s="167"/>
      <c r="X137" s="167"/>
      <c r="Y137" s="167"/>
      <c r="Z137" s="167"/>
    </row>
    <row r="138" spans="5:26" ht="12.75" customHeight="1">
      <c r="E138" s="264"/>
      <c r="F138" s="264"/>
      <c r="O138" s="149"/>
      <c r="P138" s="149"/>
      <c r="V138" s="167"/>
      <c r="W138" s="167"/>
      <c r="X138" s="167"/>
      <c r="Y138" s="167"/>
      <c r="Z138" s="167"/>
    </row>
    <row r="139" spans="5:26" ht="12.75" customHeight="1">
      <c r="E139" s="264"/>
      <c r="F139" s="264"/>
      <c r="O139" s="149"/>
      <c r="P139" s="149"/>
      <c r="V139" s="167"/>
      <c r="W139" s="167"/>
      <c r="X139" s="167"/>
      <c r="Y139" s="167"/>
      <c r="Z139" s="167"/>
    </row>
    <row r="140" spans="5:26" ht="12.75" customHeight="1">
      <c r="E140" s="264"/>
      <c r="F140" s="264"/>
      <c r="O140" s="149"/>
      <c r="P140" s="149"/>
      <c r="V140" s="167"/>
      <c r="W140" s="167"/>
      <c r="X140" s="167"/>
      <c r="Y140" s="167"/>
      <c r="Z140" s="167"/>
    </row>
    <row r="141" spans="5:26" ht="12.75" customHeight="1">
      <c r="E141" s="264"/>
      <c r="F141" s="264"/>
      <c r="O141" s="149"/>
      <c r="P141" s="149"/>
      <c r="V141" s="167"/>
      <c r="W141" s="167"/>
      <c r="X141" s="167"/>
      <c r="Y141" s="167"/>
      <c r="Z141" s="167"/>
    </row>
    <row r="142" spans="5:26" ht="12.75" customHeight="1">
      <c r="E142" s="264"/>
      <c r="F142" s="264"/>
      <c r="O142" s="149"/>
      <c r="P142" s="149"/>
      <c r="V142" s="167"/>
      <c r="W142" s="167"/>
      <c r="X142" s="167"/>
      <c r="Y142" s="167"/>
      <c r="Z142" s="167"/>
    </row>
    <row r="143" spans="5:26" ht="12.75" customHeight="1">
      <c r="E143" s="264"/>
      <c r="F143" s="264"/>
      <c r="O143" s="149"/>
      <c r="P143" s="149"/>
      <c r="V143" s="167"/>
      <c r="W143" s="167"/>
      <c r="X143" s="167"/>
      <c r="Y143" s="167"/>
      <c r="Z143" s="167"/>
    </row>
    <row r="144" spans="5:26" ht="12.75" customHeight="1">
      <c r="E144" s="264"/>
      <c r="F144" s="264"/>
      <c r="O144" s="149"/>
      <c r="P144" s="149"/>
      <c r="V144" s="167"/>
      <c r="W144" s="167"/>
      <c r="X144" s="167"/>
      <c r="Y144" s="167"/>
      <c r="Z144" s="167"/>
    </row>
    <row r="145" spans="5:26" ht="12.75" customHeight="1">
      <c r="E145" s="264"/>
      <c r="F145" s="264"/>
      <c r="O145" s="149"/>
      <c r="P145" s="149"/>
      <c r="V145" s="167"/>
      <c r="W145" s="167"/>
      <c r="X145" s="167"/>
      <c r="Y145" s="167"/>
      <c r="Z145" s="167"/>
    </row>
    <row r="146" spans="5:26" ht="12.75" customHeight="1">
      <c r="E146" s="264"/>
      <c r="F146" s="264"/>
      <c r="O146" s="149"/>
      <c r="P146" s="149"/>
      <c r="V146" s="167"/>
      <c r="W146" s="167"/>
      <c r="X146" s="167"/>
      <c r="Y146" s="167"/>
      <c r="Z146" s="167"/>
    </row>
    <row r="147" spans="5:26" ht="12.75" customHeight="1">
      <c r="E147" s="264"/>
      <c r="F147" s="264"/>
      <c r="O147" s="149"/>
      <c r="P147" s="149"/>
      <c r="V147" s="167"/>
      <c r="W147" s="167"/>
      <c r="X147" s="167"/>
      <c r="Y147" s="167"/>
      <c r="Z147" s="167"/>
    </row>
    <row r="148" spans="5:26" ht="12.75" customHeight="1">
      <c r="E148" s="264"/>
      <c r="F148" s="264"/>
      <c r="O148" s="149"/>
      <c r="P148" s="149"/>
      <c r="V148" s="167"/>
      <c r="W148" s="167"/>
      <c r="X148" s="167"/>
      <c r="Y148" s="167"/>
      <c r="Z148" s="167"/>
    </row>
    <row r="149" spans="5:26" ht="12.75" customHeight="1">
      <c r="E149" s="264"/>
      <c r="F149" s="264"/>
      <c r="O149" s="149"/>
      <c r="P149" s="149"/>
      <c r="V149" s="167"/>
      <c r="W149" s="167"/>
      <c r="X149" s="167"/>
      <c r="Y149" s="167"/>
      <c r="Z149" s="167"/>
    </row>
    <row r="150" spans="5:26" ht="12.75" customHeight="1">
      <c r="E150" s="264"/>
      <c r="F150" s="264"/>
      <c r="O150" s="149"/>
      <c r="P150" s="149"/>
      <c r="V150" s="167"/>
      <c r="W150" s="167"/>
      <c r="X150" s="167"/>
      <c r="Y150" s="167"/>
      <c r="Z150" s="167"/>
    </row>
    <row r="151" spans="5:26" ht="12.75" customHeight="1">
      <c r="E151" s="264"/>
      <c r="F151" s="264"/>
      <c r="O151" s="149"/>
      <c r="P151" s="149"/>
      <c r="V151" s="167"/>
      <c r="W151" s="167"/>
      <c r="X151" s="167"/>
      <c r="Y151" s="167"/>
      <c r="Z151" s="167"/>
    </row>
    <row r="152" spans="5:26" ht="12.75" customHeight="1">
      <c r="E152" s="264"/>
      <c r="F152" s="264"/>
      <c r="O152" s="149"/>
      <c r="P152" s="149"/>
      <c r="V152" s="167"/>
      <c r="W152" s="167"/>
      <c r="X152" s="167"/>
      <c r="Y152" s="167"/>
      <c r="Z152" s="167"/>
    </row>
    <row r="153" spans="5:26" ht="12.75" customHeight="1">
      <c r="E153" s="264"/>
      <c r="F153" s="264"/>
      <c r="O153" s="149"/>
      <c r="P153" s="149"/>
      <c r="V153" s="167"/>
      <c r="W153" s="167"/>
      <c r="X153" s="167"/>
      <c r="Y153" s="167"/>
      <c r="Z153" s="167"/>
    </row>
    <row r="154" spans="5:26" ht="12.75" customHeight="1">
      <c r="E154" s="264"/>
      <c r="F154" s="264"/>
      <c r="O154" s="149"/>
      <c r="P154" s="149"/>
      <c r="V154" s="167"/>
      <c r="W154" s="167"/>
      <c r="X154" s="167"/>
      <c r="Y154" s="167"/>
      <c r="Z154" s="167"/>
    </row>
    <row r="155" spans="5:26" ht="12.75" customHeight="1">
      <c r="E155" s="264"/>
      <c r="F155" s="264"/>
      <c r="O155" s="149"/>
      <c r="P155" s="149"/>
      <c r="V155" s="167"/>
      <c r="W155" s="167"/>
      <c r="X155" s="167"/>
      <c r="Y155" s="167"/>
      <c r="Z155" s="167"/>
    </row>
    <row r="156" spans="5:26" ht="12.75" customHeight="1">
      <c r="E156" s="264"/>
      <c r="F156" s="264"/>
      <c r="O156" s="149"/>
      <c r="P156" s="149"/>
      <c r="V156" s="167"/>
      <c r="W156" s="167"/>
      <c r="X156" s="167"/>
      <c r="Y156" s="167"/>
      <c r="Z156" s="167"/>
    </row>
    <row r="157" spans="5:26" ht="12.75" customHeight="1">
      <c r="E157" s="264"/>
      <c r="F157" s="264"/>
      <c r="O157" s="149"/>
      <c r="P157" s="149"/>
      <c r="V157" s="167"/>
      <c r="W157" s="167"/>
      <c r="X157" s="167"/>
      <c r="Y157" s="167"/>
      <c r="Z157" s="167"/>
    </row>
    <row r="158" spans="5:26" ht="12.75" customHeight="1">
      <c r="E158" s="264"/>
      <c r="F158" s="264"/>
      <c r="O158" s="149"/>
      <c r="P158" s="149"/>
      <c r="V158" s="167"/>
      <c r="W158" s="167"/>
      <c r="X158" s="167"/>
      <c r="Y158" s="167"/>
      <c r="Z158" s="167"/>
    </row>
    <row r="159" spans="5:26" ht="12.75" customHeight="1">
      <c r="E159" s="264"/>
      <c r="F159" s="264"/>
      <c r="O159" s="149"/>
      <c r="P159" s="149"/>
      <c r="V159" s="167"/>
      <c r="W159" s="167"/>
      <c r="X159" s="167"/>
      <c r="Y159" s="167"/>
      <c r="Z159" s="167"/>
    </row>
    <row r="160" spans="5:26" ht="12.75" customHeight="1">
      <c r="E160" s="264"/>
      <c r="F160" s="264"/>
      <c r="O160" s="149"/>
      <c r="P160" s="149"/>
      <c r="V160" s="167"/>
      <c r="W160" s="167"/>
      <c r="X160" s="167"/>
      <c r="Y160" s="167"/>
      <c r="Z160" s="167"/>
    </row>
    <row r="161" spans="5:26" ht="12.75" customHeight="1">
      <c r="E161" s="264"/>
      <c r="F161" s="264"/>
      <c r="O161" s="149"/>
      <c r="P161" s="149"/>
      <c r="V161" s="167"/>
      <c r="W161" s="167"/>
      <c r="X161" s="167"/>
      <c r="Y161" s="167"/>
      <c r="Z161" s="167"/>
    </row>
    <row r="162" spans="5:26" ht="12.75" customHeight="1">
      <c r="E162" s="264"/>
      <c r="F162" s="264"/>
      <c r="O162" s="149"/>
      <c r="P162" s="149"/>
      <c r="V162" s="167"/>
      <c r="W162" s="167"/>
      <c r="X162" s="167"/>
      <c r="Y162" s="167"/>
      <c r="Z162" s="167"/>
    </row>
    <row r="163" spans="5:26" ht="12.75" customHeight="1">
      <c r="E163" s="264"/>
      <c r="F163" s="264"/>
      <c r="O163" s="149"/>
      <c r="P163" s="149"/>
      <c r="V163" s="167"/>
      <c r="W163" s="167"/>
      <c r="X163" s="167"/>
      <c r="Y163" s="167"/>
      <c r="Z163" s="167"/>
    </row>
    <row r="164" spans="5:26" ht="12.75" customHeight="1">
      <c r="E164" s="264"/>
      <c r="F164" s="264"/>
      <c r="O164" s="149"/>
      <c r="P164" s="149"/>
      <c r="V164" s="167"/>
      <c r="W164" s="167"/>
      <c r="X164" s="167"/>
      <c r="Y164" s="167"/>
      <c r="Z164" s="167"/>
    </row>
    <row r="165" spans="5:26" ht="12.75" customHeight="1">
      <c r="E165" s="264"/>
      <c r="F165" s="264"/>
      <c r="O165" s="149"/>
      <c r="P165" s="149"/>
      <c r="V165" s="167"/>
      <c r="W165" s="167"/>
      <c r="X165" s="167"/>
      <c r="Y165" s="167"/>
      <c r="Z165" s="167"/>
    </row>
    <row r="166" spans="5:26" ht="12.75" customHeight="1">
      <c r="E166" s="264"/>
      <c r="F166" s="264"/>
      <c r="O166" s="149"/>
      <c r="P166" s="149"/>
      <c r="V166" s="167"/>
      <c r="W166" s="167"/>
      <c r="X166" s="167"/>
      <c r="Y166" s="167"/>
      <c r="Z166" s="167"/>
    </row>
    <row r="167" spans="5:26" ht="12.75" customHeight="1">
      <c r="E167" s="264"/>
      <c r="F167" s="264"/>
      <c r="O167" s="149"/>
      <c r="P167" s="149"/>
      <c r="V167" s="167"/>
      <c r="W167" s="167"/>
      <c r="X167" s="167"/>
      <c r="Y167" s="167"/>
      <c r="Z167" s="167"/>
    </row>
    <row r="168" spans="5:26" ht="12.75" customHeight="1">
      <c r="E168" s="264"/>
      <c r="F168" s="264"/>
      <c r="O168" s="149"/>
      <c r="P168" s="149"/>
      <c r="V168" s="167"/>
      <c r="W168" s="167"/>
      <c r="X168" s="167"/>
      <c r="Y168" s="167"/>
      <c r="Z168" s="167"/>
    </row>
    <row r="169" spans="5:26" ht="12.75" customHeight="1">
      <c r="E169" s="264"/>
      <c r="F169" s="264"/>
      <c r="O169" s="149"/>
      <c r="P169" s="149"/>
      <c r="V169" s="167"/>
      <c r="W169" s="167"/>
      <c r="X169" s="167"/>
      <c r="Y169" s="167"/>
      <c r="Z169" s="167"/>
    </row>
    <row r="170" spans="5:26" ht="12.75" customHeight="1">
      <c r="E170" s="264"/>
      <c r="F170" s="264"/>
      <c r="O170" s="149"/>
      <c r="P170" s="149"/>
      <c r="V170" s="167"/>
      <c r="W170" s="167"/>
      <c r="X170" s="167"/>
      <c r="Y170" s="167"/>
      <c r="Z170" s="167"/>
    </row>
    <row r="171" spans="5:26" ht="12.75" customHeight="1">
      <c r="E171" s="264"/>
      <c r="F171" s="264"/>
      <c r="O171" s="149"/>
      <c r="P171" s="149"/>
      <c r="V171" s="167"/>
      <c r="W171" s="167"/>
      <c r="X171" s="167"/>
      <c r="Y171" s="167"/>
      <c r="Z171" s="167"/>
    </row>
    <row r="172" spans="5:26" ht="12.75" customHeight="1">
      <c r="E172" s="264"/>
      <c r="F172" s="264"/>
      <c r="O172" s="149"/>
      <c r="P172" s="149"/>
      <c r="V172" s="167"/>
      <c r="W172" s="167"/>
      <c r="X172" s="167"/>
      <c r="Y172" s="167"/>
      <c r="Z172" s="167"/>
    </row>
    <row r="173" spans="5:26" ht="12.75" customHeight="1">
      <c r="E173" s="264"/>
      <c r="F173" s="264"/>
      <c r="O173" s="149"/>
      <c r="P173" s="149"/>
      <c r="V173" s="167"/>
      <c r="W173" s="167"/>
      <c r="X173" s="167"/>
      <c r="Y173" s="167"/>
      <c r="Z173" s="167"/>
    </row>
    <row r="174" spans="5:26" ht="12.75" customHeight="1">
      <c r="E174" s="264"/>
      <c r="F174" s="264"/>
      <c r="O174" s="149"/>
      <c r="P174" s="149"/>
      <c r="V174" s="167"/>
      <c r="W174" s="167"/>
      <c r="X174" s="167"/>
      <c r="Y174" s="167"/>
      <c r="Z174" s="167"/>
    </row>
    <row r="175" spans="5:26" ht="12.75" customHeight="1">
      <c r="E175" s="264"/>
      <c r="F175" s="264"/>
      <c r="O175" s="149"/>
      <c r="P175" s="149"/>
      <c r="V175" s="167"/>
      <c r="W175" s="167"/>
      <c r="X175" s="167"/>
      <c r="Y175" s="167"/>
      <c r="Z175" s="167"/>
    </row>
    <row r="176" spans="5:26" ht="12.75" customHeight="1">
      <c r="E176" s="264"/>
      <c r="F176" s="264"/>
      <c r="O176" s="149"/>
      <c r="P176" s="149"/>
      <c r="V176" s="167"/>
      <c r="W176" s="167"/>
      <c r="X176" s="167"/>
      <c r="Y176" s="167"/>
      <c r="Z176" s="167"/>
    </row>
    <row r="177" spans="5:26" ht="12.75" customHeight="1">
      <c r="E177" s="264"/>
      <c r="F177" s="264"/>
      <c r="O177" s="149"/>
      <c r="P177" s="149"/>
      <c r="V177" s="167"/>
      <c r="W177" s="167"/>
      <c r="X177" s="167"/>
      <c r="Y177" s="167"/>
      <c r="Z177" s="167"/>
    </row>
    <row r="178" spans="5:26" ht="12.75" customHeight="1">
      <c r="E178" s="264"/>
      <c r="F178" s="264"/>
      <c r="O178" s="149"/>
      <c r="P178" s="149"/>
      <c r="V178" s="167"/>
      <c r="W178" s="167"/>
      <c r="X178" s="167"/>
      <c r="Y178" s="167"/>
      <c r="Z178" s="167"/>
    </row>
    <row r="179" spans="5:26" ht="12.75" customHeight="1">
      <c r="E179" s="264"/>
      <c r="F179" s="264"/>
      <c r="O179" s="149"/>
      <c r="P179" s="149"/>
      <c r="V179" s="167"/>
      <c r="W179" s="167"/>
      <c r="X179" s="167"/>
      <c r="Y179" s="167"/>
      <c r="Z179" s="167"/>
    </row>
    <row r="180" spans="5:26" ht="12.75" customHeight="1">
      <c r="E180" s="264"/>
      <c r="F180" s="264"/>
      <c r="O180" s="149"/>
      <c r="P180" s="149"/>
      <c r="V180" s="167"/>
      <c r="W180" s="167"/>
      <c r="X180" s="167"/>
      <c r="Y180" s="167"/>
      <c r="Z180" s="167"/>
    </row>
    <row r="181" spans="5:26" ht="12.75" customHeight="1">
      <c r="E181" s="264"/>
      <c r="F181" s="264"/>
      <c r="O181" s="149"/>
      <c r="P181" s="149"/>
      <c r="V181" s="167"/>
      <c r="W181" s="167"/>
      <c r="X181" s="167"/>
      <c r="Y181" s="167"/>
      <c r="Z181" s="167"/>
    </row>
    <row r="182" spans="5:26" ht="12.75" customHeight="1">
      <c r="E182" s="264"/>
      <c r="F182" s="264"/>
      <c r="O182" s="149"/>
      <c r="P182" s="149"/>
      <c r="V182" s="167"/>
      <c r="W182" s="167"/>
      <c r="X182" s="167"/>
      <c r="Y182" s="167"/>
      <c r="Z182" s="167"/>
    </row>
    <row r="183" spans="5:26" ht="12.75" customHeight="1">
      <c r="E183" s="264"/>
      <c r="F183" s="264"/>
      <c r="O183" s="149"/>
      <c r="P183" s="149"/>
      <c r="V183" s="167"/>
      <c r="W183" s="167"/>
      <c r="X183" s="167"/>
      <c r="Y183" s="167"/>
      <c r="Z183" s="167"/>
    </row>
    <row r="184" spans="5:26" ht="12.75" customHeight="1">
      <c r="E184" s="264"/>
      <c r="F184" s="264"/>
      <c r="O184" s="149"/>
      <c r="P184" s="149"/>
      <c r="V184" s="167"/>
      <c r="W184" s="167"/>
      <c r="X184" s="167"/>
      <c r="Y184" s="167"/>
      <c r="Z184" s="167"/>
    </row>
    <row r="185" spans="5:26" ht="12.75" customHeight="1">
      <c r="E185" s="264"/>
      <c r="F185" s="264"/>
      <c r="O185" s="149"/>
      <c r="P185" s="149"/>
      <c r="V185" s="167"/>
      <c r="W185" s="167"/>
      <c r="X185" s="167"/>
      <c r="Y185" s="167"/>
      <c r="Z185" s="167"/>
    </row>
    <row r="186" spans="5:26" ht="12.75" customHeight="1">
      <c r="E186" s="264"/>
      <c r="F186" s="264"/>
      <c r="O186" s="149"/>
      <c r="P186" s="149"/>
      <c r="V186" s="167"/>
      <c r="W186" s="167"/>
      <c r="X186" s="167"/>
      <c r="Y186" s="167"/>
      <c r="Z186" s="167"/>
    </row>
    <row r="187" spans="5:26" ht="12.75" customHeight="1">
      <c r="E187" s="264"/>
      <c r="F187" s="264"/>
      <c r="O187" s="149"/>
      <c r="P187" s="149"/>
      <c r="V187" s="167"/>
      <c r="W187" s="167"/>
      <c r="X187" s="167"/>
      <c r="Y187" s="167"/>
      <c r="Z187" s="167"/>
    </row>
    <row r="188" spans="5:26" ht="12.75" customHeight="1">
      <c r="E188" s="264"/>
      <c r="F188" s="264"/>
      <c r="O188" s="149"/>
      <c r="P188" s="149"/>
      <c r="V188" s="167"/>
      <c r="W188" s="167"/>
      <c r="X188" s="167"/>
      <c r="Y188" s="167"/>
      <c r="Z188" s="167"/>
    </row>
    <row r="189" spans="5:26" ht="12.75" customHeight="1">
      <c r="E189" s="264"/>
      <c r="F189" s="264"/>
      <c r="O189" s="149"/>
      <c r="P189" s="149"/>
      <c r="V189" s="167"/>
      <c r="W189" s="167"/>
      <c r="X189" s="167"/>
      <c r="Y189" s="167"/>
      <c r="Z189" s="167"/>
    </row>
    <row r="190" spans="5:26" ht="12.75" customHeight="1">
      <c r="E190" s="264"/>
      <c r="F190" s="264"/>
      <c r="O190" s="149"/>
      <c r="P190" s="149"/>
      <c r="V190" s="167"/>
      <c r="W190" s="167"/>
      <c r="X190" s="167"/>
      <c r="Y190" s="167"/>
      <c r="Z190" s="167"/>
    </row>
    <row r="191" spans="5:26" ht="12.75" customHeight="1">
      <c r="E191" s="264"/>
      <c r="F191" s="264"/>
      <c r="O191" s="149"/>
      <c r="P191" s="149"/>
      <c r="V191" s="167"/>
      <c r="W191" s="167"/>
      <c r="X191" s="167"/>
      <c r="Y191" s="167"/>
      <c r="Z191" s="167"/>
    </row>
    <row r="192" spans="5:26" ht="12.75" customHeight="1">
      <c r="E192" s="264"/>
      <c r="F192" s="264"/>
      <c r="O192" s="149"/>
      <c r="P192" s="149"/>
      <c r="V192" s="167"/>
      <c r="W192" s="167"/>
      <c r="X192" s="167"/>
      <c r="Y192" s="167"/>
      <c r="Z192" s="167"/>
    </row>
    <row r="193" spans="5:26" ht="12.75" customHeight="1">
      <c r="E193" s="264"/>
      <c r="F193" s="264"/>
      <c r="O193" s="149"/>
      <c r="P193" s="149"/>
      <c r="V193" s="167"/>
      <c r="W193" s="167"/>
      <c r="X193" s="167"/>
      <c r="Y193" s="167"/>
      <c r="Z193" s="167"/>
    </row>
    <row r="194" spans="5:26" ht="12.75" customHeight="1">
      <c r="E194" s="264"/>
      <c r="F194" s="264"/>
      <c r="O194" s="149"/>
      <c r="P194" s="149"/>
      <c r="V194" s="167"/>
      <c r="W194" s="167"/>
      <c r="X194" s="167"/>
      <c r="Y194" s="167"/>
      <c r="Z194" s="167"/>
    </row>
    <row r="195" spans="5:26" ht="12.75" customHeight="1">
      <c r="E195" s="264"/>
      <c r="F195" s="264"/>
      <c r="O195" s="149"/>
      <c r="P195" s="149"/>
      <c r="V195" s="167"/>
      <c r="W195" s="167"/>
      <c r="X195" s="167"/>
      <c r="Y195" s="167"/>
      <c r="Z195" s="167"/>
    </row>
    <row r="196" spans="5:26" ht="12.75" customHeight="1">
      <c r="E196" s="264"/>
      <c r="F196" s="264"/>
      <c r="O196" s="149"/>
      <c r="P196" s="149"/>
      <c r="V196" s="167"/>
      <c r="W196" s="167"/>
      <c r="X196" s="167"/>
      <c r="Y196" s="167"/>
      <c r="Z196" s="167"/>
    </row>
    <row r="197" spans="5:26" ht="12.75" customHeight="1">
      <c r="E197" s="264"/>
      <c r="F197" s="264"/>
      <c r="O197" s="149"/>
      <c r="P197" s="149"/>
      <c r="V197" s="167"/>
      <c r="W197" s="167"/>
      <c r="X197" s="167"/>
      <c r="Y197" s="167"/>
      <c r="Z197" s="167"/>
    </row>
    <row r="198" spans="5:26" ht="12.75" customHeight="1">
      <c r="E198" s="264"/>
      <c r="F198" s="264"/>
      <c r="O198" s="149"/>
      <c r="P198" s="149"/>
      <c r="V198" s="167"/>
      <c r="W198" s="167"/>
      <c r="X198" s="167"/>
      <c r="Y198" s="167"/>
      <c r="Z198" s="167"/>
    </row>
    <row r="199" spans="5:26" ht="12.75" customHeight="1">
      <c r="E199" s="264"/>
      <c r="F199" s="264"/>
      <c r="O199" s="149"/>
      <c r="P199" s="149"/>
      <c r="V199" s="167"/>
      <c r="W199" s="167"/>
      <c r="X199" s="167"/>
      <c r="Y199" s="167"/>
      <c r="Z199" s="167"/>
    </row>
    <row r="200" spans="5:26" ht="12.75" customHeight="1">
      <c r="E200" s="264"/>
      <c r="F200" s="264"/>
      <c r="O200" s="149"/>
      <c r="P200" s="149"/>
      <c r="V200" s="167"/>
      <c r="W200" s="167"/>
      <c r="X200" s="167"/>
      <c r="Y200" s="167"/>
      <c r="Z200" s="167"/>
    </row>
    <row r="201" spans="5:26" ht="12.75" customHeight="1">
      <c r="E201" s="264"/>
      <c r="F201" s="264"/>
      <c r="O201" s="149"/>
      <c r="P201" s="149"/>
      <c r="V201" s="167"/>
      <c r="W201" s="167"/>
      <c r="X201" s="167"/>
      <c r="Y201" s="167"/>
      <c r="Z201" s="167"/>
    </row>
    <row r="202" spans="5:26" ht="12.75" customHeight="1">
      <c r="E202" s="264"/>
      <c r="F202" s="264"/>
      <c r="O202" s="149"/>
      <c r="P202" s="149"/>
      <c r="V202" s="167"/>
      <c r="W202" s="167"/>
      <c r="X202" s="167"/>
      <c r="Y202" s="167"/>
      <c r="Z202" s="167"/>
    </row>
    <row r="203" spans="5:26" ht="12.75" customHeight="1">
      <c r="E203" s="264"/>
      <c r="F203" s="264"/>
      <c r="O203" s="149"/>
      <c r="P203" s="149"/>
      <c r="V203" s="167"/>
      <c r="W203" s="167"/>
      <c r="X203" s="167"/>
      <c r="Y203" s="167"/>
      <c r="Z203" s="167"/>
    </row>
    <row r="204" spans="5:26" ht="12.75" customHeight="1">
      <c r="E204" s="264"/>
      <c r="F204" s="264"/>
      <c r="O204" s="149"/>
      <c r="P204" s="149"/>
      <c r="V204" s="167"/>
      <c r="W204" s="167"/>
      <c r="X204" s="167"/>
      <c r="Y204" s="167"/>
      <c r="Z204" s="167"/>
    </row>
    <row r="205" spans="5:26" ht="12.75" customHeight="1">
      <c r="E205" s="264"/>
      <c r="F205" s="264"/>
      <c r="O205" s="149"/>
      <c r="P205" s="149"/>
      <c r="V205" s="167"/>
      <c r="W205" s="167"/>
      <c r="X205" s="167"/>
      <c r="Y205" s="167"/>
      <c r="Z205" s="167"/>
    </row>
    <row r="206" spans="5:26" ht="12.75" customHeight="1">
      <c r="E206" s="264"/>
      <c r="F206" s="264"/>
      <c r="O206" s="149"/>
      <c r="P206" s="149"/>
      <c r="V206" s="167"/>
      <c r="W206" s="167"/>
      <c r="X206" s="167"/>
      <c r="Y206" s="167"/>
      <c r="Z206" s="167"/>
    </row>
    <row r="207" spans="5:26" ht="12.75" customHeight="1">
      <c r="E207" s="264"/>
      <c r="F207" s="264"/>
      <c r="O207" s="149"/>
      <c r="P207" s="149"/>
      <c r="V207" s="167"/>
      <c r="W207" s="167"/>
      <c r="X207" s="167"/>
      <c r="Y207" s="167"/>
      <c r="Z207" s="167"/>
    </row>
    <row r="208" spans="5:26" ht="12.75" customHeight="1">
      <c r="E208" s="264"/>
      <c r="F208" s="264"/>
      <c r="O208" s="149"/>
      <c r="P208" s="149"/>
      <c r="V208" s="167"/>
      <c r="W208" s="167"/>
      <c r="X208" s="167"/>
      <c r="Y208" s="167"/>
      <c r="Z208" s="167"/>
    </row>
    <row r="209" spans="5:26" ht="12.75" customHeight="1">
      <c r="E209" s="264"/>
      <c r="F209" s="264"/>
      <c r="O209" s="149"/>
      <c r="P209" s="149"/>
      <c r="V209" s="167"/>
      <c r="W209" s="167"/>
      <c r="X209" s="167"/>
      <c r="Y209" s="167"/>
      <c r="Z209" s="167"/>
    </row>
    <row r="210" spans="5:26" ht="12.75" customHeight="1">
      <c r="E210" s="264"/>
      <c r="F210" s="264"/>
      <c r="O210" s="149"/>
      <c r="P210" s="149"/>
      <c r="V210" s="167"/>
      <c r="W210" s="167"/>
      <c r="X210" s="167"/>
      <c r="Y210" s="167"/>
      <c r="Z210" s="167"/>
    </row>
    <row r="211" spans="5:26" ht="12.75" customHeight="1">
      <c r="E211" s="264"/>
      <c r="F211" s="264"/>
      <c r="O211" s="149"/>
      <c r="P211" s="149"/>
      <c r="V211" s="167"/>
      <c r="W211" s="167"/>
      <c r="X211" s="167"/>
      <c r="Y211" s="167"/>
      <c r="Z211" s="167"/>
    </row>
    <row r="212" spans="5:26" ht="12.75" customHeight="1">
      <c r="E212" s="264"/>
      <c r="F212" s="264"/>
      <c r="O212" s="149"/>
      <c r="P212" s="149"/>
      <c r="V212" s="167"/>
      <c r="W212" s="167"/>
      <c r="X212" s="167"/>
      <c r="Y212" s="167"/>
      <c r="Z212" s="167"/>
    </row>
    <row r="213" spans="5:26" ht="12.75" customHeight="1">
      <c r="E213" s="264"/>
      <c r="F213" s="264"/>
      <c r="O213" s="149"/>
      <c r="P213" s="149"/>
      <c r="V213" s="167"/>
      <c r="W213" s="167"/>
      <c r="X213" s="167"/>
      <c r="Y213" s="167"/>
      <c r="Z213" s="167"/>
    </row>
    <row r="214" spans="5:26" ht="12.75" customHeight="1">
      <c r="E214" s="264"/>
      <c r="F214" s="264"/>
      <c r="O214" s="149"/>
      <c r="P214" s="149"/>
      <c r="V214" s="167"/>
      <c r="W214" s="167"/>
      <c r="X214" s="167"/>
      <c r="Y214" s="167"/>
      <c r="Z214" s="167"/>
    </row>
    <row r="215" spans="5:26" ht="12.75" customHeight="1">
      <c r="E215" s="264"/>
      <c r="F215" s="264"/>
      <c r="O215" s="149"/>
      <c r="P215" s="149"/>
      <c r="V215" s="167"/>
      <c r="W215" s="167"/>
      <c r="X215" s="167"/>
      <c r="Y215" s="167"/>
      <c r="Z215" s="167"/>
    </row>
    <row r="216" spans="5:26" ht="12.75" customHeight="1">
      <c r="E216" s="264"/>
      <c r="F216" s="264"/>
      <c r="O216" s="149"/>
      <c r="P216" s="149"/>
      <c r="V216" s="167"/>
      <c r="W216" s="167"/>
      <c r="X216" s="167"/>
      <c r="Y216" s="167"/>
      <c r="Z216" s="167"/>
    </row>
    <row r="217" spans="5:26" ht="12.75" customHeight="1">
      <c r="E217" s="264"/>
      <c r="F217" s="264"/>
      <c r="O217" s="149"/>
      <c r="P217" s="149"/>
      <c r="V217" s="167"/>
      <c r="W217" s="167"/>
      <c r="X217" s="167"/>
      <c r="Y217" s="167"/>
      <c r="Z217" s="167"/>
    </row>
    <row r="218" spans="5:26" ht="12.75" customHeight="1">
      <c r="E218" s="264"/>
      <c r="F218" s="264"/>
      <c r="O218" s="149"/>
      <c r="P218" s="149"/>
      <c r="V218" s="167"/>
      <c r="W218" s="167"/>
      <c r="X218" s="167"/>
      <c r="Y218" s="167"/>
      <c r="Z218" s="167"/>
    </row>
    <row r="219" spans="5:26" ht="12.75" customHeight="1">
      <c r="E219" s="264"/>
      <c r="F219" s="264"/>
      <c r="O219" s="149"/>
      <c r="P219" s="149"/>
      <c r="V219" s="167"/>
      <c r="W219" s="167"/>
      <c r="X219" s="167"/>
      <c r="Y219" s="167"/>
      <c r="Z219" s="167"/>
    </row>
    <row r="220" spans="5:26" ht="12.75" customHeight="1">
      <c r="E220" s="264"/>
      <c r="F220" s="264"/>
      <c r="O220" s="149"/>
      <c r="P220" s="149"/>
      <c r="V220" s="167"/>
      <c r="W220" s="167"/>
      <c r="X220" s="167"/>
      <c r="Y220" s="167"/>
      <c r="Z220" s="167"/>
    </row>
    <row r="221" spans="5:26" ht="12.75" customHeight="1">
      <c r="E221" s="264"/>
      <c r="F221" s="264"/>
      <c r="O221" s="149"/>
      <c r="P221" s="149"/>
      <c r="V221" s="167"/>
      <c r="W221" s="167"/>
      <c r="X221" s="167"/>
      <c r="Y221" s="167"/>
      <c r="Z221" s="167"/>
    </row>
    <row r="222" spans="5:26" ht="12.75" customHeight="1">
      <c r="E222" s="264"/>
      <c r="F222" s="264"/>
      <c r="O222" s="149"/>
      <c r="P222" s="149"/>
      <c r="V222" s="167"/>
      <c r="W222" s="167"/>
      <c r="X222" s="167"/>
      <c r="Y222" s="167"/>
      <c r="Z222" s="167"/>
    </row>
    <row r="223" spans="5:26" ht="12.75" customHeight="1">
      <c r="E223" s="264"/>
      <c r="F223" s="264"/>
      <c r="O223" s="149"/>
      <c r="P223" s="149"/>
      <c r="V223" s="167"/>
      <c r="W223" s="167"/>
      <c r="X223" s="167"/>
      <c r="Y223" s="167"/>
      <c r="Z223" s="167"/>
    </row>
    <row r="224" spans="5:26" ht="12.75" customHeight="1">
      <c r="E224" s="264"/>
      <c r="F224" s="264"/>
      <c r="O224" s="149"/>
      <c r="P224" s="149"/>
      <c r="V224" s="167"/>
      <c r="W224" s="167"/>
      <c r="X224" s="167"/>
      <c r="Y224" s="167"/>
      <c r="Z224" s="167"/>
    </row>
    <row r="225" spans="5:26" ht="12.75" customHeight="1">
      <c r="E225" s="264"/>
      <c r="F225" s="264"/>
      <c r="O225" s="149"/>
      <c r="P225" s="149"/>
      <c r="V225" s="167"/>
      <c r="W225" s="167"/>
      <c r="X225" s="167"/>
      <c r="Y225" s="167"/>
      <c r="Z225" s="167"/>
    </row>
    <row r="226" spans="5:26" ht="12.75" customHeight="1">
      <c r="E226" s="264"/>
      <c r="F226" s="264"/>
      <c r="O226" s="149"/>
      <c r="P226" s="149"/>
      <c r="V226" s="167"/>
      <c r="W226" s="167"/>
      <c r="X226" s="167"/>
      <c r="Y226" s="167"/>
      <c r="Z226" s="167"/>
    </row>
    <row r="227" spans="5:26" ht="12.75" customHeight="1">
      <c r="E227" s="264"/>
      <c r="F227" s="264"/>
      <c r="O227" s="149"/>
      <c r="P227" s="149"/>
      <c r="V227" s="167"/>
      <c r="W227" s="167"/>
      <c r="X227" s="167"/>
      <c r="Y227" s="167"/>
      <c r="Z227" s="167"/>
    </row>
    <row r="228" spans="5:26" ht="12.75" customHeight="1">
      <c r="E228" s="264"/>
      <c r="F228" s="264"/>
      <c r="O228" s="149"/>
      <c r="P228" s="149"/>
      <c r="V228" s="167"/>
      <c r="W228" s="167"/>
      <c r="X228" s="167"/>
      <c r="Y228" s="167"/>
      <c r="Z228" s="167"/>
    </row>
    <row r="229" spans="5:26" ht="12.75" customHeight="1">
      <c r="E229" s="264"/>
      <c r="F229" s="264"/>
      <c r="O229" s="149"/>
      <c r="P229" s="149"/>
      <c r="V229" s="167"/>
      <c r="W229" s="167"/>
      <c r="X229" s="167"/>
      <c r="Y229" s="167"/>
      <c r="Z229" s="167"/>
    </row>
    <row r="230" spans="5:26" ht="12.75" customHeight="1">
      <c r="E230" s="264"/>
      <c r="F230" s="264"/>
      <c r="O230" s="149"/>
      <c r="P230" s="149"/>
      <c r="V230" s="167"/>
      <c r="W230" s="167"/>
      <c r="X230" s="167"/>
      <c r="Y230" s="167"/>
      <c r="Z230" s="167"/>
    </row>
    <row r="231" spans="5:26" ht="12.75" customHeight="1">
      <c r="E231" s="264"/>
      <c r="F231" s="264"/>
      <c r="O231" s="149"/>
      <c r="P231" s="149"/>
      <c r="V231" s="167"/>
      <c r="W231" s="167"/>
      <c r="X231" s="167"/>
      <c r="Y231" s="167"/>
      <c r="Z231" s="167"/>
    </row>
    <row r="232" spans="5:26" ht="12.75" customHeight="1">
      <c r="E232" s="264"/>
      <c r="F232" s="264"/>
      <c r="O232" s="149"/>
      <c r="P232" s="149"/>
      <c r="V232" s="167"/>
      <c r="W232" s="167"/>
      <c r="X232" s="167"/>
      <c r="Y232" s="167"/>
      <c r="Z232" s="167"/>
    </row>
    <row r="233" spans="5:26" ht="12.75" customHeight="1">
      <c r="E233" s="264"/>
      <c r="F233" s="264"/>
      <c r="O233" s="149"/>
      <c r="P233" s="149"/>
      <c r="V233" s="167"/>
      <c r="W233" s="167"/>
      <c r="X233" s="167"/>
      <c r="Y233" s="167"/>
      <c r="Z233" s="167"/>
    </row>
    <row r="234" spans="5:26" ht="12.75" customHeight="1">
      <c r="E234" s="264"/>
      <c r="F234" s="264"/>
      <c r="O234" s="149"/>
      <c r="P234" s="149"/>
      <c r="V234" s="167"/>
      <c r="W234" s="167"/>
      <c r="X234" s="167"/>
      <c r="Y234" s="167"/>
      <c r="Z234" s="167"/>
    </row>
    <row r="235" spans="5:26" ht="12.75" customHeight="1">
      <c r="E235" s="264"/>
      <c r="F235" s="264"/>
      <c r="O235" s="149"/>
      <c r="P235" s="149"/>
      <c r="V235" s="167"/>
      <c r="W235" s="167"/>
      <c r="X235" s="167"/>
      <c r="Y235" s="167"/>
      <c r="Z235" s="167"/>
    </row>
    <row r="236" spans="5:26" ht="12.75" customHeight="1">
      <c r="E236" s="264"/>
      <c r="F236" s="264"/>
      <c r="O236" s="149"/>
      <c r="P236" s="149"/>
      <c r="V236" s="167"/>
      <c r="W236" s="167"/>
      <c r="X236" s="167"/>
      <c r="Y236" s="167"/>
      <c r="Z236" s="167"/>
    </row>
    <row r="237" spans="5:26" ht="12.75" customHeight="1">
      <c r="E237" s="264"/>
      <c r="F237" s="264"/>
      <c r="O237" s="149"/>
      <c r="P237" s="149"/>
      <c r="V237" s="167"/>
      <c r="W237" s="167"/>
      <c r="X237" s="167"/>
      <c r="Y237" s="167"/>
      <c r="Z237" s="167"/>
    </row>
    <row r="238" spans="5:26" ht="12.75" customHeight="1">
      <c r="E238" s="264"/>
      <c r="F238" s="264"/>
      <c r="O238" s="149"/>
      <c r="P238" s="149"/>
      <c r="V238" s="167"/>
      <c r="W238" s="167"/>
      <c r="X238" s="167"/>
      <c r="Y238" s="167"/>
      <c r="Z238" s="167"/>
    </row>
    <row r="239" spans="5:26" ht="12.75" customHeight="1">
      <c r="E239" s="264"/>
      <c r="F239" s="264"/>
      <c r="O239" s="149"/>
      <c r="P239" s="149"/>
      <c r="V239" s="167"/>
      <c r="W239" s="167"/>
      <c r="X239" s="167"/>
      <c r="Y239" s="167"/>
      <c r="Z239" s="167"/>
    </row>
    <row r="240" spans="5:26" ht="12.75" customHeight="1">
      <c r="E240" s="264"/>
      <c r="F240" s="264"/>
      <c r="O240" s="149"/>
      <c r="P240" s="149"/>
      <c r="V240" s="167"/>
      <c r="W240" s="167"/>
      <c r="X240" s="167"/>
      <c r="Y240" s="167"/>
      <c r="Z240" s="167"/>
    </row>
    <row r="241" spans="5:26" ht="12.75" customHeight="1">
      <c r="E241" s="264"/>
      <c r="F241" s="264"/>
      <c r="O241" s="149"/>
      <c r="P241" s="149"/>
      <c r="V241" s="167"/>
      <c r="W241" s="167"/>
      <c r="X241" s="167"/>
      <c r="Y241" s="167"/>
      <c r="Z241" s="167"/>
    </row>
    <row r="242" spans="5:26" ht="12.75" customHeight="1">
      <c r="E242" s="264"/>
      <c r="F242" s="264"/>
      <c r="O242" s="149"/>
      <c r="P242" s="149"/>
      <c r="V242" s="167"/>
      <c r="W242" s="167"/>
      <c r="X242" s="167"/>
      <c r="Y242" s="167"/>
      <c r="Z242" s="167"/>
    </row>
    <row r="243" spans="5:26" ht="12.75" customHeight="1">
      <c r="E243" s="264"/>
      <c r="F243" s="264"/>
      <c r="O243" s="149"/>
      <c r="P243" s="149"/>
      <c r="V243" s="167"/>
      <c r="W243" s="167"/>
      <c r="X243" s="167"/>
      <c r="Y243" s="167"/>
      <c r="Z243" s="167"/>
    </row>
    <row r="244" spans="5:26" ht="12.75" customHeight="1">
      <c r="E244" s="264"/>
      <c r="F244" s="264"/>
      <c r="O244" s="149"/>
      <c r="P244" s="149"/>
      <c r="V244" s="167"/>
      <c r="W244" s="167"/>
      <c r="X244" s="167"/>
      <c r="Y244" s="167"/>
      <c r="Z244" s="167"/>
    </row>
    <row r="245" spans="5:26" ht="12.75" customHeight="1">
      <c r="E245" s="264"/>
      <c r="F245" s="264"/>
      <c r="O245" s="149"/>
      <c r="P245" s="149"/>
      <c r="V245" s="167"/>
      <c r="W245" s="167"/>
      <c r="X245" s="167"/>
      <c r="Y245" s="167"/>
      <c r="Z245" s="167"/>
    </row>
    <row r="246" spans="5:26" ht="12.75" customHeight="1">
      <c r="E246" s="264"/>
      <c r="F246" s="264"/>
      <c r="O246" s="149"/>
      <c r="P246" s="149"/>
      <c r="V246" s="167"/>
      <c r="W246" s="167"/>
      <c r="X246" s="167"/>
      <c r="Y246" s="167"/>
      <c r="Z246" s="167"/>
    </row>
    <row r="247" spans="5:26" ht="12.75" customHeight="1">
      <c r="E247" s="264"/>
      <c r="F247" s="264"/>
      <c r="O247" s="149"/>
      <c r="P247" s="149"/>
      <c r="V247" s="167"/>
      <c r="W247" s="167"/>
      <c r="X247" s="167"/>
      <c r="Y247" s="167"/>
      <c r="Z247" s="167"/>
    </row>
    <row r="248" spans="5:26" ht="12.75" customHeight="1">
      <c r="E248" s="264"/>
      <c r="F248" s="264"/>
      <c r="O248" s="149"/>
      <c r="P248" s="149"/>
      <c r="V248" s="167"/>
      <c r="W248" s="167"/>
      <c r="X248" s="167"/>
      <c r="Y248" s="167"/>
      <c r="Z248" s="167"/>
    </row>
    <row r="249" spans="5:26" ht="12.75" customHeight="1">
      <c r="E249" s="264"/>
      <c r="F249" s="264"/>
      <c r="O249" s="149"/>
      <c r="P249" s="149"/>
      <c r="V249" s="167"/>
      <c r="W249" s="167"/>
      <c r="X249" s="167"/>
      <c r="Y249" s="167"/>
      <c r="Z249" s="167"/>
    </row>
    <row r="250" spans="5:26" ht="12.75" customHeight="1">
      <c r="E250" s="264"/>
      <c r="F250" s="264"/>
      <c r="O250" s="149"/>
      <c r="P250" s="149"/>
      <c r="V250" s="167"/>
      <c r="W250" s="167"/>
      <c r="X250" s="167"/>
      <c r="Y250" s="167"/>
      <c r="Z250" s="167"/>
    </row>
    <row r="251" spans="5:26" ht="12.75" customHeight="1">
      <c r="E251" s="264"/>
      <c r="F251" s="264"/>
      <c r="O251" s="149"/>
      <c r="P251" s="149"/>
      <c r="V251" s="167"/>
      <c r="W251" s="167"/>
      <c r="X251" s="167"/>
      <c r="Y251" s="167"/>
      <c r="Z251" s="167"/>
    </row>
    <row r="252" spans="5:26" ht="12.75" customHeight="1">
      <c r="E252" s="264"/>
      <c r="F252" s="264"/>
      <c r="O252" s="149"/>
      <c r="P252" s="149"/>
      <c r="V252" s="167"/>
      <c r="W252" s="167"/>
      <c r="X252" s="167"/>
      <c r="Y252" s="167"/>
      <c r="Z252" s="167"/>
    </row>
    <row r="253" spans="5:26" ht="12.75" customHeight="1">
      <c r="E253" s="264"/>
      <c r="F253" s="264"/>
      <c r="O253" s="149"/>
      <c r="P253" s="149"/>
      <c r="V253" s="167"/>
      <c r="W253" s="167"/>
      <c r="X253" s="167"/>
      <c r="Y253" s="167"/>
      <c r="Z253" s="167"/>
    </row>
    <row r="254" spans="5:26" ht="12.75" customHeight="1">
      <c r="E254" s="264"/>
      <c r="F254" s="264"/>
      <c r="O254" s="149"/>
      <c r="P254" s="149"/>
      <c r="V254" s="167"/>
      <c r="W254" s="167"/>
      <c r="X254" s="167"/>
      <c r="Y254" s="167"/>
      <c r="Z254" s="167"/>
    </row>
    <row r="255" spans="5:26" ht="12.75" customHeight="1">
      <c r="E255" s="264"/>
      <c r="F255" s="264"/>
      <c r="O255" s="149"/>
      <c r="P255" s="149"/>
      <c r="V255" s="167"/>
      <c r="W255" s="167"/>
      <c r="X255" s="167"/>
      <c r="Y255" s="167"/>
      <c r="Z255" s="167"/>
    </row>
    <row r="256" spans="5:26" ht="12.75" customHeight="1">
      <c r="E256" s="264"/>
      <c r="F256" s="264"/>
      <c r="O256" s="149"/>
      <c r="P256" s="149"/>
      <c r="V256" s="167"/>
      <c r="W256" s="167"/>
      <c r="X256" s="167"/>
      <c r="Y256" s="167"/>
      <c r="Z256" s="167"/>
    </row>
    <row r="257" spans="5:26" ht="12.75" customHeight="1">
      <c r="E257" s="264"/>
      <c r="F257" s="264"/>
      <c r="O257" s="149"/>
      <c r="P257" s="149"/>
      <c r="V257" s="167"/>
      <c r="W257" s="167"/>
      <c r="X257" s="167"/>
      <c r="Y257" s="167"/>
      <c r="Z257" s="167"/>
    </row>
    <row r="258" spans="5:26" ht="12.75" customHeight="1">
      <c r="E258" s="264"/>
      <c r="F258" s="264"/>
      <c r="O258" s="149"/>
      <c r="P258" s="149"/>
      <c r="V258" s="167"/>
      <c r="W258" s="167"/>
      <c r="X258" s="167"/>
      <c r="Y258" s="167"/>
      <c r="Z258" s="167"/>
    </row>
    <row r="259" spans="5:26" ht="12.75" customHeight="1">
      <c r="E259" s="264"/>
      <c r="F259" s="264"/>
      <c r="O259" s="149"/>
      <c r="P259" s="149"/>
      <c r="V259" s="167"/>
      <c r="W259" s="167"/>
      <c r="X259" s="167"/>
      <c r="Y259" s="167"/>
      <c r="Z259" s="167"/>
    </row>
    <row r="260" spans="5:26" ht="12.75" customHeight="1">
      <c r="E260" s="264"/>
      <c r="F260" s="264"/>
      <c r="O260" s="149"/>
      <c r="P260" s="149"/>
      <c r="V260" s="167"/>
      <c r="W260" s="167"/>
      <c r="X260" s="167"/>
      <c r="Y260" s="167"/>
      <c r="Z260" s="167"/>
    </row>
    <row r="261" spans="5:26" ht="12.75" customHeight="1">
      <c r="E261" s="264"/>
      <c r="F261" s="264"/>
      <c r="O261" s="149"/>
      <c r="P261" s="149"/>
      <c r="V261" s="167"/>
      <c r="W261" s="167"/>
      <c r="X261" s="167"/>
      <c r="Y261" s="167"/>
      <c r="Z261" s="167"/>
    </row>
    <row r="262" spans="5:26" ht="12.75" customHeight="1">
      <c r="E262" s="264"/>
      <c r="F262" s="264"/>
      <c r="O262" s="149"/>
      <c r="P262" s="149"/>
      <c r="V262" s="167"/>
      <c r="W262" s="167"/>
      <c r="X262" s="167"/>
      <c r="Y262" s="167"/>
      <c r="Z262" s="167"/>
    </row>
    <row r="263" spans="5:26" ht="12.75" customHeight="1">
      <c r="E263" s="264"/>
      <c r="F263" s="264"/>
      <c r="O263" s="149"/>
      <c r="P263" s="149"/>
      <c r="V263" s="167"/>
      <c r="W263" s="167"/>
      <c r="X263" s="167"/>
      <c r="Y263" s="167"/>
      <c r="Z263" s="167"/>
    </row>
    <row r="264" spans="5:26" ht="12.75" customHeight="1">
      <c r="E264" s="264"/>
      <c r="F264" s="264"/>
      <c r="O264" s="149"/>
      <c r="P264" s="149"/>
      <c r="V264" s="167"/>
      <c r="W264" s="167"/>
      <c r="X264" s="167"/>
      <c r="Y264" s="167"/>
      <c r="Z264" s="167"/>
    </row>
    <row r="265" spans="5:26" ht="12.75" customHeight="1">
      <c r="E265" s="264"/>
      <c r="F265" s="264"/>
      <c r="O265" s="149"/>
      <c r="P265" s="149"/>
      <c r="V265" s="167"/>
      <c r="W265" s="167"/>
      <c r="X265" s="167"/>
      <c r="Y265" s="167"/>
      <c r="Z265" s="167"/>
    </row>
    <row r="266" spans="5:26" ht="12.75" customHeight="1">
      <c r="E266" s="264"/>
      <c r="F266" s="264"/>
      <c r="O266" s="149"/>
      <c r="P266" s="149"/>
      <c r="V266" s="167"/>
      <c r="W266" s="167"/>
      <c r="X266" s="167"/>
      <c r="Y266" s="167"/>
      <c r="Z266" s="167"/>
    </row>
    <row r="267" spans="5:26" ht="12.75" customHeight="1">
      <c r="E267" s="264"/>
      <c r="F267" s="264"/>
      <c r="O267" s="149"/>
      <c r="P267" s="149"/>
      <c r="V267" s="167"/>
      <c r="W267" s="167"/>
      <c r="X267" s="167"/>
      <c r="Y267" s="167"/>
      <c r="Z267" s="167"/>
    </row>
    <row r="268" spans="5:26" ht="12.75" customHeight="1">
      <c r="E268" s="264"/>
      <c r="F268" s="264"/>
      <c r="O268" s="149"/>
      <c r="P268" s="149"/>
      <c r="V268" s="167"/>
      <c r="W268" s="167"/>
      <c r="X268" s="167"/>
      <c r="Y268" s="167"/>
      <c r="Z268" s="167"/>
    </row>
    <row r="269" spans="5:26" ht="12.75" customHeight="1">
      <c r="E269" s="264"/>
      <c r="F269" s="264"/>
      <c r="O269" s="149"/>
      <c r="P269" s="149"/>
      <c r="V269" s="167"/>
      <c r="W269" s="167"/>
      <c r="X269" s="167"/>
      <c r="Y269" s="167"/>
      <c r="Z269" s="167"/>
    </row>
    <row r="270" spans="5:26" ht="12.75" customHeight="1">
      <c r="E270" s="264"/>
      <c r="F270" s="264"/>
      <c r="O270" s="149"/>
      <c r="P270" s="149"/>
      <c r="V270" s="167"/>
      <c r="W270" s="167"/>
      <c r="X270" s="167"/>
      <c r="Y270" s="167"/>
      <c r="Z270" s="167"/>
    </row>
    <row r="271" spans="5:26" ht="12.75" customHeight="1">
      <c r="E271" s="264"/>
      <c r="F271" s="264"/>
      <c r="O271" s="149"/>
      <c r="P271" s="149"/>
      <c r="V271" s="167"/>
      <c r="W271" s="167"/>
      <c r="X271" s="167"/>
      <c r="Y271" s="167"/>
      <c r="Z271" s="167"/>
    </row>
    <row r="272" spans="5:26" ht="12.75" customHeight="1">
      <c r="E272" s="264"/>
      <c r="F272" s="264"/>
      <c r="O272" s="149"/>
      <c r="P272" s="149"/>
      <c r="V272" s="167"/>
      <c r="W272" s="167"/>
      <c r="X272" s="167"/>
      <c r="Y272" s="167"/>
      <c r="Z272" s="167"/>
    </row>
    <row r="273" spans="5:26" ht="12.75" customHeight="1">
      <c r="E273" s="264"/>
      <c r="F273" s="264"/>
      <c r="O273" s="149"/>
      <c r="P273" s="149"/>
      <c r="V273" s="167"/>
      <c r="W273" s="167"/>
      <c r="X273" s="167"/>
      <c r="Y273" s="167"/>
      <c r="Z273" s="167"/>
    </row>
    <row r="274" spans="5:26" ht="12.75" customHeight="1">
      <c r="E274" s="264"/>
      <c r="F274" s="264"/>
      <c r="O274" s="149"/>
      <c r="P274" s="149"/>
      <c r="V274" s="167"/>
      <c r="W274" s="167"/>
      <c r="X274" s="167"/>
      <c r="Y274" s="167"/>
      <c r="Z274" s="167"/>
    </row>
    <row r="275" spans="5:26" ht="12.75" customHeight="1">
      <c r="E275" s="264"/>
      <c r="F275" s="264"/>
      <c r="O275" s="149"/>
      <c r="P275" s="149"/>
      <c r="V275" s="167"/>
      <c r="W275" s="167"/>
      <c r="X275" s="167"/>
      <c r="Y275" s="167"/>
      <c r="Z275" s="167"/>
    </row>
    <row r="276" spans="5:26" ht="12.75" customHeight="1">
      <c r="E276" s="264"/>
      <c r="F276" s="264"/>
      <c r="O276" s="149"/>
      <c r="P276" s="149"/>
      <c r="V276" s="167"/>
      <c r="W276" s="167"/>
      <c r="X276" s="167"/>
      <c r="Y276" s="167"/>
      <c r="Z276" s="167"/>
    </row>
    <row r="277" spans="5:26" ht="12.75" customHeight="1">
      <c r="E277" s="264"/>
      <c r="F277" s="264"/>
      <c r="O277" s="149"/>
      <c r="P277" s="149"/>
      <c r="V277" s="167"/>
      <c r="W277" s="167"/>
      <c r="X277" s="167"/>
      <c r="Y277" s="167"/>
      <c r="Z277" s="167"/>
    </row>
    <row r="278" spans="5:26" ht="12.75" customHeight="1">
      <c r="E278" s="264"/>
      <c r="F278" s="264"/>
      <c r="O278" s="149"/>
      <c r="P278" s="149"/>
      <c r="V278" s="167"/>
      <c r="W278" s="167"/>
      <c r="X278" s="167"/>
      <c r="Y278" s="167"/>
      <c r="Z278" s="167"/>
    </row>
    <row r="279" spans="5:26" ht="12.75" customHeight="1">
      <c r="E279" s="264"/>
      <c r="F279" s="264"/>
      <c r="O279" s="149"/>
      <c r="P279" s="149"/>
      <c r="V279" s="167"/>
      <c r="W279" s="167"/>
      <c r="X279" s="167"/>
      <c r="Y279" s="167"/>
      <c r="Z279" s="167"/>
    </row>
    <row r="280" spans="5:26" ht="12.75" customHeight="1">
      <c r="E280" s="264"/>
      <c r="F280" s="264"/>
      <c r="O280" s="149"/>
      <c r="P280" s="149"/>
      <c r="V280" s="167"/>
      <c r="W280" s="167"/>
      <c r="X280" s="167"/>
      <c r="Y280" s="167"/>
      <c r="Z280" s="167"/>
    </row>
    <row r="281" spans="5:26" ht="12.75" customHeight="1">
      <c r="E281" s="264"/>
      <c r="F281" s="264"/>
      <c r="O281" s="149"/>
      <c r="P281" s="149"/>
      <c r="V281" s="167"/>
      <c r="W281" s="167"/>
      <c r="X281" s="167"/>
      <c r="Y281" s="167"/>
      <c r="Z281" s="167"/>
    </row>
    <row r="282" spans="5:26" ht="12.75" customHeight="1">
      <c r="E282" s="264"/>
      <c r="F282" s="264"/>
      <c r="O282" s="149"/>
      <c r="P282" s="149"/>
      <c r="V282" s="167"/>
      <c r="W282" s="167"/>
      <c r="X282" s="167"/>
      <c r="Y282" s="167"/>
      <c r="Z282" s="167"/>
    </row>
    <row r="283" spans="5:26" ht="12.75" customHeight="1">
      <c r="E283" s="264"/>
      <c r="F283" s="264"/>
      <c r="O283" s="149"/>
      <c r="P283" s="149"/>
      <c r="V283" s="167"/>
      <c r="W283" s="167"/>
      <c r="X283" s="167"/>
      <c r="Y283" s="167"/>
      <c r="Z283" s="167"/>
    </row>
    <row r="284" spans="5:26" ht="12.75" customHeight="1">
      <c r="E284" s="264"/>
      <c r="F284" s="264"/>
      <c r="O284" s="149"/>
      <c r="P284" s="149"/>
      <c r="V284" s="167"/>
      <c r="W284" s="167"/>
      <c r="X284" s="167"/>
      <c r="Y284" s="167"/>
      <c r="Z284" s="167"/>
    </row>
    <row r="285" spans="5:26" ht="12.75" customHeight="1">
      <c r="E285" s="264"/>
      <c r="F285" s="264"/>
      <c r="O285" s="149"/>
      <c r="P285" s="149"/>
      <c r="V285" s="167"/>
      <c r="W285" s="167"/>
      <c r="X285" s="167"/>
      <c r="Y285" s="167"/>
      <c r="Z285" s="167"/>
    </row>
    <row r="286" spans="5:26" ht="12.75" customHeight="1">
      <c r="E286" s="264"/>
      <c r="F286" s="264"/>
      <c r="O286" s="149"/>
      <c r="P286" s="149"/>
      <c r="V286" s="167"/>
      <c r="W286" s="167"/>
      <c r="X286" s="167"/>
      <c r="Y286" s="167"/>
      <c r="Z286" s="167"/>
    </row>
    <row r="287" spans="5:26" ht="12.75" customHeight="1">
      <c r="E287" s="264"/>
      <c r="F287" s="264"/>
      <c r="O287" s="149"/>
      <c r="P287" s="149"/>
      <c r="V287" s="167"/>
      <c r="W287" s="167"/>
      <c r="X287" s="167"/>
      <c r="Y287" s="167"/>
      <c r="Z287" s="167"/>
    </row>
    <row r="288" spans="5:26" ht="12.75" customHeight="1">
      <c r="E288" s="264"/>
      <c r="F288" s="264"/>
      <c r="O288" s="149"/>
      <c r="P288" s="149"/>
      <c r="V288" s="167"/>
      <c r="W288" s="167"/>
      <c r="X288" s="167"/>
      <c r="Y288" s="167"/>
      <c r="Z288" s="167"/>
    </row>
    <row r="289" spans="5:26" ht="12.75" customHeight="1">
      <c r="E289" s="264"/>
      <c r="F289" s="264"/>
      <c r="O289" s="149"/>
      <c r="P289" s="149"/>
      <c r="V289" s="167"/>
      <c r="W289" s="167"/>
      <c r="X289" s="167"/>
      <c r="Y289" s="167"/>
      <c r="Z289" s="167"/>
    </row>
    <row r="290" spans="5:26" ht="12.75" customHeight="1">
      <c r="E290" s="264"/>
      <c r="F290" s="264"/>
      <c r="O290" s="149"/>
      <c r="P290" s="149"/>
      <c r="V290" s="167"/>
      <c r="W290" s="167"/>
      <c r="X290" s="167"/>
      <c r="Y290" s="167"/>
      <c r="Z290" s="167"/>
    </row>
    <row r="291" spans="5:26" ht="12.75" customHeight="1">
      <c r="E291" s="264"/>
      <c r="F291" s="264"/>
      <c r="O291" s="149"/>
      <c r="P291" s="149"/>
      <c r="V291" s="167"/>
      <c r="W291" s="167"/>
      <c r="X291" s="167"/>
      <c r="Y291" s="167"/>
      <c r="Z291" s="167"/>
    </row>
    <row r="292" spans="5:26" ht="12.75" customHeight="1">
      <c r="E292" s="264"/>
      <c r="F292" s="264"/>
      <c r="O292" s="149"/>
      <c r="P292" s="149"/>
      <c r="V292" s="167"/>
      <c r="W292" s="167"/>
      <c r="X292" s="167"/>
      <c r="Y292" s="167"/>
      <c r="Z292" s="167"/>
    </row>
    <row r="293" spans="5:26" ht="12.75" customHeight="1">
      <c r="E293" s="264"/>
      <c r="F293" s="264"/>
      <c r="O293" s="149"/>
      <c r="P293" s="149"/>
      <c r="V293" s="167"/>
      <c r="W293" s="167"/>
      <c r="X293" s="167"/>
      <c r="Y293" s="167"/>
      <c r="Z293" s="167"/>
    </row>
    <row r="294" spans="5:26" ht="12.75" customHeight="1">
      <c r="E294" s="264"/>
      <c r="F294" s="264"/>
      <c r="O294" s="149"/>
      <c r="P294" s="149"/>
      <c r="V294" s="167"/>
      <c r="W294" s="167"/>
      <c r="X294" s="167"/>
      <c r="Y294" s="167"/>
      <c r="Z294" s="167"/>
    </row>
    <row r="295" spans="5:26" ht="12.75" customHeight="1">
      <c r="E295" s="264"/>
      <c r="F295" s="264"/>
      <c r="O295" s="149"/>
      <c r="P295" s="149"/>
      <c r="V295" s="167"/>
      <c r="W295" s="167"/>
      <c r="X295" s="167"/>
      <c r="Y295" s="167"/>
      <c r="Z295" s="167"/>
    </row>
    <row r="296" spans="5:26" ht="12.75" customHeight="1">
      <c r="E296" s="264"/>
      <c r="F296" s="264"/>
      <c r="O296" s="149"/>
      <c r="P296" s="149"/>
      <c r="V296" s="167"/>
      <c r="W296" s="167"/>
      <c r="X296" s="167"/>
      <c r="Y296" s="167"/>
      <c r="Z296" s="167"/>
    </row>
    <row r="297" spans="5:26" ht="12.75" customHeight="1">
      <c r="E297" s="264"/>
      <c r="F297" s="264"/>
      <c r="O297" s="149"/>
      <c r="P297" s="149"/>
      <c r="V297" s="167"/>
      <c r="W297" s="167"/>
      <c r="X297" s="167"/>
      <c r="Y297" s="167"/>
      <c r="Z297" s="167"/>
    </row>
    <row r="298" spans="5:26" ht="12.75" customHeight="1">
      <c r="E298" s="264"/>
      <c r="F298" s="264"/>
      <c r="O298" s="149"/>
      <c r="P298" s="149"/>
      <c r="V298" s="167"/>
      <c r="W298" s="167"/>
      <c r="X298" s="167"/>
      <c r="Y298" s="167"/>
      <c r="Z298" s="167"/>
    </row>
    <row r="299" spans="5:26" ht="12.75" customHeight="1">
      <c r="E299" s="264"/>
      <c r="F299" s="264"/>
      <c r="O299" s="149"/>
      <c r="P299" s="149"/>
      <c r="V299" s="167"/>
      <c r="W299" s="167"/>
      <c r="X299" s="167"/>
      <c r="Y299" s="167"/>
      <c r="Z299" s="167"/>
    </row>
    <row r="300" spans="5:26" ht="12.75" customHeight="1">
      <c r="E300" s="264"/>
      <c r="F300" s="264"/>
      <c r="O300" s="149"/>
      <c r="P300" s="149"/>
      <c r="V300" s="167"/>
      <c r="W300" s="167"/>
      <c r="X300" s="167"/>
      <c r="Y300" s="167"/>
      <c r="Z300" s="167"/>
    </row>
    <row r="301" spans="5:26" ht="12.75" customHeight="1">
      <c r="E301" s="264"/>
      <c r="F301" s="264"/>
      <c r="O301" s="149"/>
      <c r="P301" s="149"/>
      <c r="V301" s="167"/>
      <c r="W301" s="167"/>
      <c r="X301" s="167"/>
      <c r="Y301" s="167"/>
      <c r="Z301" s="167"/>
    </row>
    <row r="302" spans="5:26" ht="12.75" customHeight="1">
      <c r="E302" s="264"/>
      <c r="F302" s="264"/>
      <c r="O302" s="149"/>
      <c r="P302" s="149"/>
      <c r="V302" s="167"/>
      <c r="W302" s="167"/>
      <c r="X302" s="167"/>
      <c r="Y302" s="167"/>
      <c r="Z302" s="167"/>
    </row>
    <row r="303" spans="5:26" ht="12.75" customHeight="1">
      <c r="E303" s="264"/>
      <c r="F303" s="264"/>
      <c r="O303" s="149"/>
      <c r="P303" s="149"/>
      <c r="V303" s="167"/>
      <c r="W303" s="167"/>
      <c r="X303" s="167"/>
      <c r="Y303" s="167"/>
      <c r="Z303" s="167"/>
    </row>
    <row r="304" spans="5:26" ht="12.75" customHeight="1">
      <c r="E304" s="264"/>
      <c r="F304" s="264"/>
      <c r="O304" s="149"/>
      <c r="P304" s="149"/>
      <c r="V304" s="167"/>
      <c r="W304" s="167"/>
      <c r="X304" s="167"/>
      <c r="Y304" s="167"/>
      <c r="Z304" s="167"/>
    </row>
    <row r="305" spans="5:26" ht="12.75" customHeight="1">
      <c r="E305" s="264"/>
      <c r="F305" s="264"/>
      <c r="O305" s="149"/>
      <c r="P305" s="149"/>
      <c r="V305" s="167"/>
      <c r="W305" s="167"/>
      <c r="X305" s="167"/>
      <c r="Y305" s="167"/>
      <c r="Z305" s="167"/>
    </row>
    <row r="306" spans="5:26" ht="12.75" customHeight="1">
      <c r="E306" s="264"/>
      <c r="F306" s="264"/>
      <c r="O306" s="149"/>
      <c r="P306" s="149"/>
      <c r="V306" s="167"/>
      <c r="W306" s="167"/>
      <c r="X306" s="167"/>
      <c r="Y306" s="167"/>
      <c r="Z306" s="167"/>
    </row>
    <row r="307" spans="5:26" ht="12.75" customHeight="1">
      <c r="E307" s="264"/>
      <c r="F307" s="264"/>
      <c r="O307" s="149"/>
      <c r="P307" s="149"/>
      <c r="V307" s="167"/>
      <c r="W307" s="167"/>
      <c r="X307" s="167"/>
      <c r="Y307" s="167"/>
      <c r="Z307" s="167"/>
    </row>
    <row r="308" spans="5:26" ht="12.75" customHeight="1">
      <c r="E308" s="264"/>
      <c r="F308" s="264"/>
      <c r="O308" s="149"/>
      <c r="P308" s="149"/>
      <c r="V308" s="167"/>
      <c r="W308" s="167"/>
      <c r="X308" s="167"/>
      <c r="Y308" s="167"/>
      <c r="Z308" s="167"/>
    </row>
    <row r="309" spans="5:26" ht="12.75" customHeight="1">
      <c r="E309" s="264"/>
      <c r="F309" s="264"/>
      <c r="O309" s="149"/>
      <c r="P309" s="149"/>
      <c r="V309" s="167"/>
      <c r="W309" s="167"/>
      <c r="X309" s="167"/>
      <c r="Y309" s="167"/>
      <c r="Z309" s="167"/>
    </row>
    <row r="310" spans="5:26" ht="12.75" customHeight="1">
      <c r="E310" s="264"/>
      <c r="F310" s="264"/>
      <c r="O310" s="149"/>
      <c r="P310" s="149"/>
      <c r="V310" s="167"/>
      <c r="W310" s="167"/>
      <c r="X310" s="167"/>
      <c r="Y310" s="167"/>
      <c r="Z310" s="167"/>
    </row>
    <row r="311" spans="5:26" ht="12.75" customHeight="1">
      <c r="E311" s="264"/>
      <c r="F311" s="264"/>
      <c r="O311" s="149"/>
      <c r="P311" s="149"/>
      <c r="V311" s="167"/>
      <c r="W311" s="167"/>
      <c r="X311" s="167"/>
      <c r="Y311" s="167"/>
      <c r="Z311" s="167"/>
    </row>
    <row r="312" spans="5:26" ht="12.75" customHeight="1">
      <c r="E312" s="264"/>
      <c r="F312" s="264"/>
      <c r="O312" s="149"/>
      <c r="P312" s="149"/>
      <c r="V312" s="167"/>
      <c r="W312" s="167"/>
      <c r="X312" s="167"/>
      <c r="Y312" s="167"/>
      <c r="Z312" s="167"/>
    </row>
    <row r="313" spans="5:26" ht="12.75" customHeight="1">
      <c r="E313" s="264"/>
      <c r="F313" s="264"/>
      <c r="O313" s="149"/>
      <c r="P313" s="149"/>
      <c r="V313" s="167"/>
      <c r="W313" s="167"/>
      <c r="X313" s="167"/>
      <c r="Y313" s="167"/>
      <c r="Z313" s="167"/>
    </row>
    <row r="314" spans="5:26" ht="12.75" customHeight="1">
      <c r="E314" s="264"/>
      <c r="F314" s="264"/>
      <c r="O314" s="149"/>
      <c r="P314" s="149"/>
      <c r="V314" s="167"/>
      <c r="W314" s="167"/>
      <c r="X314" s="167"/>
      <c r="Y314" s="167"/>
      <c r="Z314" s="167"/>
    </row>
    <row r="315" spans="5:26" ht="12.75" customHeight="1">
      <c r="E315" s="264"/>
      <c r="F315" s="264"/>
      <c r="O315" s="149"/>
      <c r="P315" s="149"/>
      <c r="V315" s="167"/>
      <c r="W315" s="167"/>
      <c r="X315" s="167"/>
      <c r="Y315" s="167"/>
      <c r="Z315" s="167"/>
    </row>
    <row r="316" spans="5:26" ht="12.75" customHeight="1">
      <c r="E316" s="264"/>
      <c r="F316" s="264"/>
      <c r="O316" s="149"/>
      <c r="P316" s="149"/>
      <c r="V316" s="167"/>
      <c r="W316" s="167"/>
      <c r="X316" s="167"/>
      <c r="Y316" s="167"/>
      <c r="Z316" s="167"/>
    </row>
    <row r="317" spans="5:26" ht="12.75" customHeight="1">
      <c r="E317" s="264"/>
      <c r="F317" s="264"/>
      <c r="O317" s="149"/>
      <c r="P317" s="149"/>
      <c r="V317" s="167"/>
      <c r="W317" s="167"/>
      <c r="X317" s="167"/>
      <c r="Y317" s="167"/>
      <c r="Z317" s="167"/>
    </row>
    <row r="318" spans="5:26" ht="12.75" customHeight="1">
      <c r="E318" s="264"/>
      <c r="F318" s="264"/>
      <c r="O318" s="149"/>
      <c r="P318" s="149"/>
      <c r="V318" s="167"/>
      <c r="W318" s="167"/>
      <c r="X318" s="167"/>
      <c r="Y318" s="167"/>
      <c r="Z318" s="167"/>
    </row>
    <row r="319" spans="5:26" ht="12.75" customHeight="1">
      <c r="E319" s="264"/>
      <c r="F319" s="264"/>
      <c r="O319" s="149"/>
      <c r="P319" s="149"/>
      <c r="V319" s="167"/>
      <c r="W319" s="167"/>
      <c r="X319" s="167"/>
      <c r="Y319" s="167"/>
      <c r="Z319" s="167"/>
    </row>
    <row r="320" spans="5:26" ht="12.75" customHeight="1">
      <c r="E320" s="264"/>
      <c r="F320" s="264"/>
      <c r="O320" s="149"/>
      <c r="P320" s="149"/>
      <c r="V320" s="167"/>
      <c r="W320" s="167"/>
      <c r="X320" s="167"/>
      <c r="Y320" s="167"/>
      <c r="Z320" s="167"/>
    </row>
    <row r="321" spans="5:26" ht="12.75" customHeight="1">
      <c r="E321" s="264"/>
      <c r="F321" s="264"/>
      <c r="O321" s="149"/>
      <c r="P321" s="149"/>
      <c r="V321" s="167"/>
      <c r="W321" s="167"/>
      <c r="X321" s="167"/>
      <c r="Y321" s="167"/>
      <c r="Z321" s="167"/>
    </row>
    <row r="322" spans="5:26" ht="12.75" customHeight="1">
      <c r="E322" s="264"/>
      <c r="F322" s="264"/>
      <c r="O322" s="149"/>
      <c r="P322" s="149"/>
      <c r="V322" s="167"/>
      <c r="W322" s="167"/>
      <c r="X322" s="167"/>
      <c r="Y322" s="167"/>
      <c r="Z322" s="167"/>
    </row>
    <row r="323" spans="5:26" ht="12.75" customHeight="1">
      <c r="E323" s="264"/>
      <c r="F323" s="264"/>
      <c r="O323" s="149"/>
      <c r="P323" s="149"/>
      <c r="V323" s="167"/>
      <c r="W323" s="167"/>
      <c r="X323" s="167"/>
      <c r="Y323" s="167"/>
      <c r="Z323" s="167"/>
    </row>
    <row r="324" spans="5:26" ht="12.75" customHeight="1">
      <c r="E324" s="264"/>
      <c r="F324" s="264"/>
      <c r="O324" s="149"/>
      <c r="P324" s="149"/>
      <c r="V324" s="167"/>
      <c r="W324" s="167"/>
      <c r="X324" s="167"/>
      <c r="Y324" s="167"/>
      <c r="Z324" s="167"/>
    </row>
    <row r="325" spans="5:26" ht="12.75" customHeight="1">
      <c r="E325" s="264"/>
      <c r="F325" s="264"/>
      <c r="O325" s="149"/>
      <c r="P325" s="149"/>
      <c r="V325" s="167"/>
      <c r="W325" s="167"/>
      <c r="X325" s="167"/>
      <c r="Y325" s="167"/>
      <c r="Z325" s="167"/>
    </row>
    <row r="326" spans="5:26" ht="12.75" customHeight="1">
      <c r="E326" s="264"/>
      <c r="F326" s="264"/>
      <c r="O326" s="149"/>
      <c r="P326" s="149"/>
      <c r="V326" s="167"/>
      <c r="W326" s="167"/>
      <c r="X326" s="167"/>
      <c r="Y326" s="167"/>
      <c r="Z326" s="167"/>
    </row>
    <row r="327" spans="5:26" ht="12.75" customHeight="1">
      <c r="E327" s="264"/>
      <c r="F327" s="264"/>
      <c r="O327" s="149"/>
      <c r="P327" s="149"/>
      <c r="V327" s="167"/>
      <c r="W327" s="167"/>
      <c r="X327" s="167"/>
      <c r="Y327" s="167"/>
      <c r="Z327" s="167"/>
    </row>
    <row r="328" spans="5:26" ht="12.75" customHeight="1">
      <c r="E328" s="264"/>
      <c r="F328" s="264"/>
      <c r="O328" s="149"/>
      <c r="P328" s="149"/>
      <c r="V328" s="167"/>
      <c r="W328" s="167"/>
      <c r="X328" s="167"/>
      <c r="Y328" s="167"/>
      <c r="Z328" s="167"/>
    </row>
    <row r="329" spans="5:26" ht="12.75" customHeight="1">
      <c r="E329" s="264"/>
      <c r="F329" s="264"/>
      <c r="O329" s="149"/>
      <c r="P329" s="149"/>
      <c r="V329" s="167"/>
      <c r="W329" s="167"/>
      <c r="X329" s="167"/>
      <c r="Y329" s="167"/>
      <c r="Z329" s="167"/>
    </row>
    <row r="330" spans="5:26" ht="12.75" customHeight="1">
      <c r="E330" s="264"/>
      <c r="F330" s="264"/>
      <c r="O330" s="149"/>
      <c r="P330" s="149"/>
      <c r="V330" s="167"/>
      <c r="W330" s="167"/>
      <c r="X330" s="167"/>
      <c r="Y330" s="167"/>
      <c r="Z330" s="167"/>
    </row>
    <row r="331" spans="5:26" ht="12.75" customHeight="1">
      <c r="E331" s="264"/>
      <c r="F331" s="264"/>
      <c r="O331" s="149"/>
      <c r="P331" s="149"/>
      <c r="V331" s="167"/>
      <c r="W331" s="167"/>
      <c r="X331" s="167"/>
      <c r="Y331" s="167"/>
      <c r="Z331" s="167"/>
    </row>
    <row r="332" spans="5:26" ht="12.75" customHeight="1">
      <c r="E332" s="264"/>
      <c r="F332" s="264"/>
      <c r="O332" s="149"/>
      <c r="P332" s="149"/>
      <c r="V332" s="167"/>
      <c r="W332" s="167"/>
      <c r="X332" s="167"/>
      <c r="Y332" s="167"/>
      <c r="Z332" s="167"/>
    </row>
    <row r="333" spans="5:26" ht="12.75" customHeight="1">
      <c r="E333" s="264"/>
      <c r="F333" s="264"/>
      <c r="O333" s="149"/>
      <c r="P333" s="149"/>
      <c r="V333" s="167"/>
      <c r="W333" s="167"/>
      <c r="X333" s="167"/>
      <c r="Y333" s="167"/>
      <c r="Z333" s="167"/>
    </row>
    <row r="334" spans="5:26" ht="12.75" customHeight="1">
      <c r="E334" s="264"/>
      <c r="F334" s="264"/>
      <c r="O334" s="149"/>
      <c r="P334" s="149"/>
      <c r="V334" s="167"/>
      <c r="W334" s="167"/>
      <c r="X334" s="167"/>
      <c r="Y334" s="167"/>
      <c r="Z334" s="167"/>
    </row>
    <row r="335" spans="5:26" ht="12.75" customHeight="1">
      <c r="E335" s="264"/>
      <c r="F335" s="264"/>
      <c r="O335" s="149"/>
      <c r="P335" s="149"/>
      <c r="V335" s="167"/>
      <c r="W335" s="167"/>
      <c r="X335" s="167"/>
      <c r="Y335" s="167"/>
      <c r="Z335" s="167"/>
    </row>
    <row r="336" spans="5:26" ht="12.75" customHeight="1">
      <c r="E336" s="264"/>
      <c r="F336" s="264"/>
      <c r="O336" s="149"/>
      <c r="P336" s="149"/>
      <c r="V336" s="167"/>
      <c r="W336" s="167"/>
      <c r="X336" s="167"/>
      <c r="Y336" s="167"/>
      <c r="Z336" s="167"/>
    </row>
    <row r="337" spans="5:26" ht="12.75" customHeight="1">
      <c r="E337" s="264"/>
      <c r="F337" s="264"/>
      <c r="O337" s="149"/>
      <c r="P337" s="149"/>
      <c r="V337" s="167"/>
      <c r="W337" s="167"/>
      <c r="X337" s="167"/>
      <c r="Y337" s="167"/>
      <c r="Z337" s="167"/>
    </row>
    <row r="338" spans="5:26" ht="12.75" customHeight="1">
      <c r="E338" s="264"/>
      <c r="F338" s="264"/>
      <c r="O338" s="149"/>
      <c r="P338" s="149"/>
      <c r="V338" s="167"/>
      <c r="W338" s="167"/>
      <c r="X338" s="167"/>
      <c r="Y338" s="167"/>
      <c r="Z338" s="167"/>
    </row>
    <row r="339" spans="5:26" ht="12.75" customHeight="1">
      <c r="E339" s="264"/>
      <c r="F339" s="264"/>
      <c r="O339" s="149"/>
      <c r="P339" s="149"/>
      <c r="V339" s="167"/>
      <c r="W339" s="167"/>
      <c r="X339" s="167"/>
      <c r="Y339" s="167"/>
      <c r="Z339" s="167"/>
    </row>
    <row r="340" spans="5:26" ht="12.75" customHeight="1">
      <c r="E340" s="264"/>
      <c r="F340" s="264"/>
      <c r="O340" s="149"/>
      <c r="P340" s="149"/>
      <c r="V340" s="167"/>
      <c r="W340" s="167"/>
      <c r="X340" s="167"/>
      <c r="Y340" s="167"/>
      <c r="Z340" s="167"/>
    </row>
    <row r="341" spans="5:26" ht="12.75" customHeight="1">
      <c r="E341" s="264"/>
      <c r="F341" s="264"/>
      <c r="O341" s="149"/>
      <c r="P341" s="149"/>
      <c r="V341" s="167"/>
      <c r="W341" s="167"/>
      <c r="X341" s="167"/>
      <c r="Y341" s="167"/>
      <c r="Z341" s="167"/>
    </row>
    <row r="342" spans="5:26" ht="12.75" customHeight="1">
      <c r="E342" s="264"/>
      <c r="F342" s="264"/>
      <c r="O342" s="149"/>
      <c r="P342" s="149"/>
      <c r="V342" s="167"/>
      <c r="W342" s="167"/>
      <c r="X342" s="167"/>
      <c r="Y342" s="167"/>
      <c r="Z342" s="167"/>
    </row>
    <row r="343" spans="5:26" ht="12.75" customHeight="1">
      <c r="E343" s="264"/>
      <c r="F343" s="264"/>
      <c r="O343" s="149"/>
      <c r="P343" s="149"/>
      <c r="V343" s="167"/>
      <c r="W343" s="167"/>
      <c r="X343" s="167"/>
      <c r="Y343" s="167"/>
      <c r="Z343" s="167"/>
    </row>
    <row r="344" spans="5:26" ht="12.75" customHeight="1">
      <c r="E344" s="264"/>
      <c r="F344" s="264"/>
      <c r="O344" s="149"/>
      <c r="P344" s="149"/>
      <c r="V344" s="167"/>
      <c r="W344" s="167"/>
      <c r="X344" s="167"/>
      <c r="Y344" s="167"/>
      <c r="Z344" s="167"/>
    </row>
    <row r="345" spans="5:26" ht="12.75" customHeight="1">
      <c r="E345" s="264"/>
      <c r="F345" s="264"/>
      <c r="O345" s="149"/>
      <c r="P345" s="149"/>
      <c r="V345" s="167"/>
      <c r="W345" s="167"/>
      <c r="X345" s="167"/>
      <c r="Y345" s="167"/>
      <c r="Z345" s="167"/>
    </row>
    <row r="346" spans="5:26" ht="12.75" customHeight="1">
      <c r="E346" s="264"/>
      <c r="F346" s="264"/>
      <c r="O346" s="149"/>
      <c r="P346" s="149"/>
      <c r="V346" s="167"/>
      <c r="W346" s="167"/>
      <c r="X346" s="167"/>
      <c r="Y346" s="167"/>
      <c r="Z346" s="167"/>
    </row>
    <row r="347" spans="5:26" ht="12.75" customHeight="1">
      <c r="E347" s="264"/>
      <c r="F347" s="264"/>
      <c r="O347" s="149"/>
      <c r="P347" s="149"/>
      <c r="V347" s="167"/>
      <c r="W347" s="167"/>
      <c r="X347" s="167"/>
      <c r="Y347" s="167"/>
      <c r="Z347" s="167"/>
    </row>
    <row r="348" spans="5:26" ht="12.75" customHeight="1">
      <c r="E348" s="264"/>
      <c r="F348" s="264"/>
      <c r="O348" s="149"/>
      <c r="P348" s="149"/>
      <c r="V348" s="167"/>
      <c r="W348" s="167"/>
      <c r="X348" s="167"/>
      <c r="Y348" s="167"/>
      <c r="Z348" s="167"/>
    </row>
    <row r="349" spans="5:26" ht="12.75" customHeight="1">
      <c r="E349" s="264"/>
      <c r="F349" s="264"/>
      <c r="O349" s="149"/>
      <c r="P349" s="149"/>
      <c r="V349" s="167"/>
      <c r="W349" s="167"/>
      <c r="X349" s="167"/>
      <c r="Y349" s="167"/>
      <c r="Z349" s="167"/>
    </row>
    <row r="350" spans="5:26" ht="12.75" customHeight="1">
      <c r="E350" s="264"/>
      <c r="F350" s="264"/>
      <c r="O350" s="149"/>
      <c r="P350" s="149"/>
      <c r="V350" s="167"/>
      <c r="W350" s="167"/>
      <c r="X350" s="167"/>
      <c r="Y350" s="167"/>
      <c r="Z350" s="167"/>
    </row>
    <row r="351" spans="5:26" ht="12.75" customHeight="1">
      <c r="E351" s="264"/>
      <c r="F351" s="264"/>
      <c r="O351" s="149"/>
      <c r="P351" s="149"/>
      <c r="V351" s="167"/>
      <c r="W351" s="167"/>
      <c r="X351" s="167"/>
      <c r="Y351" s="167"/>
      <c r="Z351" s="167"/>
    </row>
    <row r="352" spans="5:26" ht="12.75" customHeight="1">
      <c r="E352" s="264"/>
      <c r="F352" s="264"/>
      <c r="O352" s="149"/>
      <c r="P352" s="149"/>
      <c r="V352" s="167"/>
      <c r="W352" s="167"/>
      <c r="X352" s="167"/>
      <c r="Y352" s="167"/>
      <c r="Z352" s="167"/>
    </row>
    <row r="353" spans="5:26" ht="12.75" customHeight="1">
      <c r="E353" s="264"/>
      <c r="F353" s="264"/>
      <c r="O353" s="149"/>
      <c r="P353" s="149"/>
      <c r="V353" s="167"/>
      <c r="W353" s="167"/>
      <c r="X353" s="167"/>
      <c r="Y353" s="167"/>
      <c r="Z353" s="167"/>
    </row>
    <row r="354" spans="5:26" ht="12.75" customHeight="1">
      <c r="E354" s="264"/>
      <c r="F354" s="264"/>
      <c r="O354" s="149"/>
      <c r="P354" s="149"/>
      <c r="V354" s="167"/>
      <c r="W354" s="167"/>
      <c r="X354" s="167"/>
      <c r="Y354" s="167"/>
      <c r="Z354" s="167"/>
    </row>
    <row r="355" spans="5:26" ht="12.75" customHeight="1">
      <c r="E355" s="264"/>
      <c r="F355" s="264"/>
      <c r="O355" s="149"/>
      <c r="P355" s="149"/>
      <c r="V355" s="167"/>
      <c r="W355" s="167"/>
      <c r="X355" s="167"/>
      <c r="Y355" s="167"/>
      <c r="Z355" s="167"/>
    </row>
    <row r="356" spans="5:26" ht="12.75" customHeight="1">
      <c r="E356" s="264"/>
      <c r="F356" s="264"/>
      <c r="O356" s="149"/>
      <c r="P356" s="149"/>
      <c r="V356" s="167"/>
      <c r="W356" s="167"/>
      <c r="X356" s="167"/>
      <c r="Y356" s="167"/>
      <c r="Z356" s="167"/>
    </row>
    <row r="357" spans="5:26" ht="12.75" customHeight="1">
      <c r="E357" s="264"/>
      <c r="F357" s="264"/>
      <c r="O357" s="149"/>
      <c r="P357" s="149"/>
      <c r="V357" s="167"/>
      <c r="W357" s="167"/>
      <c r="X357" s="167"/>
      <c r="Y357" s="167"/>
      <c r="Z357" s="167"/>
    </row>
    <row r="358" spans="5:26" ht="12.75" customHeight="1">
      <c r="E358" s="264"/>
      <c r="F358" s="264"/>
      <c r="O358" s="149"/>
      <c r="P358" s="149"/>
      <c r="V358" s="167"/>
      <c r="W358" s="167"/>
      <c r="X358" s="167"/>
      <c r="Y358" s="167"/>
      <c r="Z358" s="167"/>
    </row>
    <row r="359" spans="5:26" ht="12.75" customHeight="1">
      <c r="E359" s="264"/>
      <c r="F359" s="264"/>
      <c r="O359" s="149"/>
      <c r="P359" s="149"/>
      <c r="V359" s="167"/>
      <c r="W359" s="167"/>
      <c r="X359" s="167"/>
      <c r="Y359" s="167"/>
      <c r="Z359" s="167"/>
    </row>
    <row r="360" spans="5:26" ht="12.75" customHeight="1">
      <c r="E360" s="264"/>
      <c r="F360" s="264"/>
      <c r="O360" s="149"/>
      <c r="P360" s="149"/>
      <c r="V360" s="167"/>
      <c r="W360" s="167"/>
      <c r="X360" s="167"/>
      <c r="Y360" s="167"/>
      <c r="Z360" s="167"/>
    </row>
    <row r="361" spans="5:26" ht="12.75" customHeight="1">
      <c r="E361" s="264"/>
      <c r="F361" s="264"/>
      <c r="O361" s="149"/>
      <c r="P361" s="149"/>
      <c r="V361" s="167"/>
      <c r="W361" s="167"/>
      <c r="X361" s="167"/>
      <c r="Y361" s="167"/>
      <c r="Z361" s="167"/>
    </row>
    <row r="362" spans="5:26" ht="12.75" customHeight="1">
      <c r="E362" s="264"/>
      <c r="F362" s="264"/>
      <c r="O362" s="149"/>
      <c r="P362" s="149"/>
      <c r="V362" s="167"/>
      <c r="W362" s="167"/>
      <c r="X362" s="167"/>
      <c r="Y362" s="167"/>
      <c r="Z362" s="167"/>
    </row>
    <row r="363" spans="5:26" ht="12.75" customHeight="1">
      <c r="E363" s="264"/>
      <c r="F363" s="264"/>
      <c r="O363" s="149"/>
      <c r="P363" s="149"/>
      <c r="V363" s="167"/>
      <c r="W363" s="167"/>
      <c r="X363" s="167"/>
      <c r="Y363" s="167"/>
      <c r="Z363" s="167"/>
    </row>
    <row r="364" spans="5:26" ht="12.75" customHeight="1">
      <c r="E364" s="264"/>
      <c r="F364" s="264"/>
      <c r="O364" s="149"/>
      <c r="P364" s="149"/>
      <c r="V364" s="167"/>
      <c r="W364" s="167"/>
      <c r="X364" s="167"/>
      <c r="Y364" s="167"/>
      <c r="Z364" s="167"/>
    </row>
    <row r="365" spans="5:26" ht="12.75" customHeight="1">
      <c r="E365" s="264"/>
      <c r="F365" s="264"/>
      <c r="O365" s="149"/>
      <c r="P365" s="149"/>
      <c r="V365" s="167"/>
      <c r="W365" s="167"/>
      <c r="X365" s="167"/>
      <c r="Y365" s="167"/>
      <c r="Z365" s="167"/>
    </row>
    <row r="366" spans="5:26" ht="12.75" customHeight="1">
      <c r="E366" s="264"/>
      <c r="F366" s="264"/>
      <c r="O366" s="149"/>
      <c r="P366" s="149"/>
      <c r="V366" s="167"/>
      <c r="W366" s="167"/>
      <c r="X366" s="167"/>
      <c r="Y366" s="167"/>
      <c r="Z366" s="167"/>
    </row>
    <row r="367" spans="5:26" ht="12.75" customHeight="1">
      <c r="E367" s="264"/>
      <c r="F367" s="264"/>
      <c r="O367" s="149"/>
      <c r="P367" s="149"/>
      <c r="V367" s="167"/>
      <c r="W367" s="167"/>
      <c r="X367" s="167"/>
      <c r="Y367" s="167"/>
      <c r="Z367" s="167"/>
    </row>
    <row r="368" spans="5:26" ht="12.75" customHeight="1">
      <c r="E368" s="264"/>
      <c r="F368" s="264"/>
      <c r="O368" s="149"/>
      <c r="P368" s="149"/>
      <c r="V368" s="167"/>
      <c r="W368" s="167"/>
      <c r="X368" s="167"/>
      <c r="Y368" s="167"/>
      <c r="Z368" s="167"/>
    </row>
    <row r="369" spans="5:26" ht="12.75" customHeight="1">
      <c r="E369" s="264"/>
      <c r="F369" s="264"/>
      <c r="O369" s="149"/>
      <c r="P369" s="149"/>
      <c r="V369" s="167"/>
      <c r="W369" s="167"/>
      <c r="X369" s="167"/>
      <c r="Y369" s="167"/>
      <c r="Z369" s="167"/>
    </row>
    <row r="370" spans="5:26" ht="12.75" customHeight="1">
      <c r="E370" s="264"/>
      <c r="F370" s="264"/>
      <c r="O370" s="149"/>
      <c r="P370" s="149"/>
      <c r="V370" s="167"/>
      <c r="W370" s="167"/>
      <c r="X370" s="167"/>
      <c r="Y370" s="167"/>
      <c r="Z370" s="167"/>
    </row>
    <row r="371" spans="5:26" ht="12.75" customHeight="1">
      <c r="E371" s="264"/>
      <c r="F371" s="264"/>
      <c r="O371" s="149"/>
      <c r="P371" s="149"/>
      <c r="V371" s="167"/>
      <c r="W371" s="167"/>
      <c r="X371" s="167"/>
      <c r="Y371" s="167"/>
      <c r="Z371" s="167"/>
    </row>
    <row r="372" spans="5:26" ht="12.75" customHeight="1">
      <c r="E372" s="264"/>
      <c r="F372" s="264"/>
      <c r="O372" s="149"/>
      <c r="P372" s="149"/>
      <c r="V372" s="167"/>
      <c r="W372" s="167"/>
      <c r="X372" s="167"/>
      <c r="Y372" s="167"/>
      <c r="Z372" s="167"/>
    </row>
    <row r="373" spans="5:26" ht="12.75" customHeight="1">
      <c r="E373" s="264"/>
      <c r="F373" s="264"/>
      <c r="O373" s="149"/>
      <c r="P373" s="149"/>
      <c r="V373" s="167"/>
      <c r="W373" s="167"/>
      <c r="X373" s="167"/>
      <c r="Y373" s="167"/>
      <c r="Z373" s="167"/>
    </row>
    <row r="374" spans="5:26" ht="12.75" customHeight="1">
      <c r="E374" s="264"/>
      <c r="F374" s="264"/>
      <c r="O374" s="149"/>
      <c r="P374" s="149"/>
      <c r="V374" s="167"/>
      <c r="W374" s="167"/>
      <c r="X374" s="167"/>
      <c r="Y374" s="167"/>
      <c r="Z374" s="167"/>
    </row>
    <row r="375" spans="5:26" ht="12.75" customHeight="1">
      <c r="E375" s="264"/>
      <c r="F375" s="264"/>
      <c r="O375" s="149"/>
      <c r="P375" s="149"/>
      <c r="V375" s="167"/>
      <c r="W375" s="167"/>
      <c r="X375" s="167"/>
      <c r="Y375" s="167"/>
      <c r="Z375" s="167"/>
    </row>
    <row r="376" spans="5:26" ht="12.75" customHeight="1">
      <c r="E376" s="264"/>
      <c r="F376" s="264"/>
      <c r="O376" s="149"/>
      <c r="P376" s="149"/>
      <c r="V376" s="167"/>
      <c r="W376" s="167"/>
      <c r="X376" s="167"/>
      <c r="Y376" s="167"/>
      <c r="Z376" s="167"/>
    </row>
    <row r="377" spans="5:26" ht="12.75" customHeight="1">
      <c r="E377" s="264"/>
      <c r="F377" s="264"/>
      <c r="O377" s="149"/>
      <c r="P377" s="149"/>
      <c r="V377" s="167"/>
      <c r="W377" s="167"/>
      <c r="X377" s="167"/>
      <c r="Y377" s="167"/>
      <c r="Z377" s="167"/>
    </row>
    <row r="378" spans="5:26" ht="12.75" customHeight="1">
      <c r="E378" s="264"/>
      <c r="F378" s="264"/>
      <c r="O378" s="149"/>
      <c r="P378" s="149"/>
      <c r="V378" s="167"/>
      <c r="W378" s="167"/>
      <c r="X378" s="167"/>
      <c r="Y378" s="167"/>
      <c r="Z378" s="167"/>
    </row>
    <row r="379" spans="5:26" ht="12.75" customHeight="1">
      <c r="E379" s="264"/>
      <c r="F379" s="264"/>
      <c r="O379" s="149"/>
      <c r="P379" s="149"/>
      <c r="V379" s="167"/>
      <c r="W379" s="167"/>
      <c r="X379" s="167"/>
      <c r="Y379" s="167"/>
      <c r="Z379" s="167"/>
    </row>
    <row r="380" spans="5:26" ht="12.75" customHeight="1">
      <c r="E380" s="264"/>
      <c r="F380" s="264"/>
      <c r="O380" s="149"/>
      <c r="P380" s="149"/>
      <c r="V380" s="167"/>
      <c r="W380" s="167"/>
      <c r="X380" s="167"/>
      <c r="Y380" s="167"/>
      <c r="Z380" s="167"/>
    </row>
    <row r="381" spans="5:26" ht="12.75" customHeight="1">
      <c r="E381" s="264"/>
      <c r="F381" s="264"/>
      <c r="O381" s="149"/>
      <c r="P381" s="149"/>
      <c r="V381" s="167"/>
      <c r="W381" s="167"/>
      <c r="X381" s="167"/>
      <c r="Y381" s="167"/>
      <c r="Z381" s="167"/>
    </row>
    <row r="382" spans="5:26" ht="12.75" customHeight="1">
      <c r="E382" s="264"/>
      <c r="F382" s="264"/>
      <c r="O382" s="149"/>
      <c r="P382" s="149"/>
      <c r="V382" s="167"/>
      <c r="W382" s="167"/>
      <c r="X382" s="167"/>
      <c r="Y382" s="167"/>
      <c r="Z382" s="167"/>
    </row>
    <row r="383" spans="5:26" ht="12.75" customHeight="1">
      <c r="E383" s="264"/>
      <c r="F383" s="264"/>
      <c r="O383" s="149"/>
      <c r="P383" s="149"/>
      <c r="V383" s="167"/>
      <c r="W383" s="167"/>
      <c r="X383" s="167"/>
      <c r="Y383" s="167"/>
      <c r="Z383" s="167"/>
    </row>
    <row r="384" spans="5:26" ht="12.75" customHeight="1">
      <c r="E384" s="264"/>
      <c r="F384" s="264"/>
      <c r="O384" s="149"/>
      <c r="P384" s="149"/>
      <c r="V384" s="167"/>
      <c r="W384" s="167"/>
      <c r="X384" s="167"/>
      <c r="Y384" s="167"/>
      <c r="Z384" s="167"/>
    </row>
    <row r="385" spans="5:26" ht="12.75" customHeight="1">
      <c r="E385" s="264"/>
      <c r="F385" s="264"/>
      <c r="O385" s="149"/>
      <c r="P385" s="149"/>
      <c r="V385" s="167"/>
      <c r="W385" s="167"/>
      <c r="X385" s="167"/>
      <c r="Y385" s="167"/>
      <c r="Z385" s="167"/>
    </row>
    <row r="386" spans="5:26" ht="12.75" customHeight="1">
      <c r="E386" s="264"/>
      <c r="F386" s="264"/>
      <c r="O386" s="149"/>
      <c r="P386" s="149"/>
      <c r="V386" s="167"/>
      <c r="W386" s="167"/>
      <c r="X386" s="167"/>
      <c r="Y386" s="167"/>
      <c r="Z386" s="167"/>
    </row>
    <row r="387" spans="5:26" ht="12.75" customHeight="1">
      <c r="E387" s="264"/>
      <c r="F387" s="264"/>
      <c r="O387" s="149"/>
      <c r="P387" s="149"/>
      <c r="V387" s="167"/>
      <c r="W387" s="167"/>
      <c r="X387" s="167"/>
      <c r="Y387" s="167"/>
      <c r="Z387" s="167"/>
    </row>
    <row r="388" spans="5:26" ht="12.75" customHeight="1">
      <c r="E388" s="264"/>
      <c r="F388" s="264"/>
      <c r="O388" s="149"/>
      <c r="P388" s="149"/>
      <c r="V388" s="167"/>
      <c r="W388" s="167"/>
      <c r="X388" s="167"/>
      <c r="Y388" s="167"/>
      <c r="Z388" s="167"/>
    </row>
    <row r="389" spans="5:26" ht="12.75" customHeight="1">
      <c r="E389" s="264"/>
      <c r="F389" s="264"/>
      <c r="O389" s="149"/>
      <c r="P389" s="149"/>
      <c r="V389" s="167"/>
      <c r="W389" s="167"/>
      <c r="X389" s="167"/>
      <c r="Y389" s="167"/>
      <c r="Z389" s="167"/>
    </row>
    <row r="390" spans="5:26" ht="12.75" customHeight="1">
      <c r="E390" s="264"/>
      <c r="F390" s="264"/>
      <c r="O390" s="149"/>
      <c r="P390" s="149"/>
      <c r="V390" s="167"/>
      <c r="W390" s="167"/>
      <c r="X390" s="167"/>
      <c r="Y390" s="167"/>
      <c r="Z390" s="167"/>
    </row>
    <row r="391" spans="5:26" ht="12.75" customHeight="1">
      <c r="E391" s="264"/>
      <c r="F391" s="264"/>
      <c r="O391" s="149"/>
      <c r="P391" s="149"/>
      <c r="V391" s="167"/>
      <c r="W391" s="167"/>
      <c r="X391" s="167"/>
      <c r="Y391" s="167"/>
      <c r="Z391" s="167"/>
    </row>
    <row r="392" spans="5:26" ht="12.75" customHeight="1">
      <c r="E392" s="264"/>
      <c r="F392" s="264"/>
      <c r="O392" s="149"/>
      <c r="P392" s="149"/>
      <c r="V392" s="167"/>
      <c r="W392" s="167"/>
      <c r="X392" s="167"/>
      <c r="Y392" s="167"/>
      <c r="Z392" s="167"/>
    </row>
    <row r="393" spans="5:26" ht="12.75" customHeight="1">
      <c r="E393" s="264"/>
      <c r="F393" s="264"/>
      <c r="O393" s="149"/>
      <c r="P393" s="149"/>
      <c r="V393" s="167"/>
      <c r="W393" s="167"/>
      <c r="X393" s="167"/>
      <c r="Y393" s="167"/>
      <c r="Z393" s="167"/>
    </row>
    <row r="394" spans="5:26" ht="12.75" customHeight="1">
      <c r="E394" s="264"/>
      <c r="F394" s="264"/>
      <c r="O394" s="149"/>
      <c r="P394" s="149"/>
      <c r="V394" s="167"/>
      <c r="W394" s="167"/>
      <c r="X394" s="167"/>
      <c r="Y394" s="167"/>
      <c r="Z394" s="167"/>
    </row>
    <row r="395" spans="5:26" ht="12.75" customHeight="1">
      <c r="E395" s="264"/>
      <c r="F395" s="264"/>
      <c r="O395" s="149"/>
      <c r="P395" s="149"/>
      <c r="V395" s="167"/>
      <c r="W395" s="167"/>
      <c r="X395" s="167"/>
      <c r="Y395" s="167"/>
      <c r="Z395" s="167"/>
    </row>
    <row r="396" spans="5:26" ht="12.75" customHeight="1">
      <c r="E396" s="264"/>
      <c r="F396" s="264"/>
      <c r="O396" s="149"/>
      <c r="P396" s="149"/>
      <c r="V396" s="167"/>
      <c r="W396" s="167"/>
      <c r="X396" s="167"/>
      <c r="Y396" s="167"/>
      <c r="Z396" s="167"/>
    </row>
    <row r="397" spans="5:26" ht="12.75" customHeight="1">
      <c r="E397" s="264"/>
      <c r="F397" s="264"/>
      <c r="O397" s="149"/>
      <c r="P397" s="149"/>
      <c r="V397" s="167"/>
      <c r="W397" s="167"/>
      <c r="X397" s="167"/>
      <c r="Y397" s="167"/>
      <c r="Z397" s="167"/>
    </row>
    <row r="398" spans="5:26" ht="12.75" customHeight="1">
      <c r="E398" s="264"/>
      <c r="F398" s="264"/>
      <c r="O398" s="149"/>
      <c r="P398" s="149"/>
      <c r="V398" s="167"/>
      <c r="W398" s="167"/>
      <c r="X398" s="167"/>
      <c r="Y398" s="167"/>
      <c r="Z398" s="167"/>
    </row>
    <row r="399" spans="5:26" ht="12.75" customHeight="1">
      <c r="E399" s="264"/>
      <c r="F399" s="264"/>
      <c r="O399" s="149"/>
      <c r="P399" s="149"/>
      <c r="V399" s="167"/>
      <c r="W399" s="167"/>
      <c r="X399" s="167"/>
      <c r="Y399" s="167"/>
      <c r="Z399" s="167"/>
    </row>
    <row r="400" spans="5:26" ht="12.75" customHeight="1">
      <c r="E400" s="264"/>
      <c r="F400" s="264"/>
      <c r="O400" s="149"/>
      <c r="P400" s="149"/>
      <c r="V400" s="167"/>
      <c r="W400" s="167"/>
      <c r="X400" s="167"/>
      <c r="Y400" s="167"/>
      <c r="Z400" s="167"/>
    </row>
    <row r="401" spans="5:26" ht="12.75" customHeight="1">
      <c r="E401" s="264"/>
      <c r="F401" s="264"/>
      <c r="O401" s="149"/>
      <c r="P401" s="149"/>
      <c r="V401" s="167"/>
      <c r="W401" s="167"/>
      <c r="X401" s="167"/>
      <c r="Y401" s="167"/>
      <c r="Z401" s="167"/>
    </row>
    <row r="402" spans="5:26" ht="12.75" customHeight="1">
      <c r="E402" s="264"/>
      <c r="F402" s="264"/>
      <c r="O402" s="149"/>
      <c r="P402" s="149"/>
      <c r="V402" s="167"/>
      <c r="W402" s="167"/>
      <c r="X402" s="167"/>
      <c r="Y402" s="167"/>
      <c r="Z402" s="167"/>
    </row>
    <row r="403" spans="5:26" ht="12.75" customHeight="1">
      <c r="E403" s="264"/>
      <c r="F403" s="264"/>
      <c r="O403" s="149"/>
      <c r="P403" s="149"/>
      <c r="V403" s="167"/>
      <c r="W403" s="167"/>
      <c r="X403" s="167"/>
      <c r="Y403" s="167"/>
      <c r="Z403" s="167"/>
    </row>
    <row r="404" spans="5:26" ht="12.75" customHeight="1">
      <c r="E404" s="264"/>
      <c r="F404" s="264"/>
      <c r="O404" s="149"/>
      <c r="P404" s="149"/>
      <c r="V404" s="167"/>
      <c r="W404" s="167"/>
      <c r="X404" s="167"/>
      <c r="Y404" s="167"/>
      <c r="Z404" s="167"/>
    </row>
    <row r="405" spans="5:26" ht="12.75" customHeight="1">
      <c r="E405" s="264"/>
      <c r="F405" s="264"/>
      <c r="O405" s="149"/>
      <c r="P405" s="149"/>
      <c r="V405" s="167"/>
      <c r="W405" s="167"/>
      <c r="X405" s="167"/>
      <c r="Y405" s="167"/>
      <c r="Z405" s="167"/>
    </row>
    <row r="406" spans="5:26" ht="12.75" customHeight="1">
      <c r="E406" s="264"/>
      <c r="F406" s="264"/>
      <c r="O406" s="149"/>
      <c r="P406" s="149"/>
      <c r="V406" s="167"/>
      <c r="W406" s="167"/>
      <c r="X406" s="167"/>
      <c r="Y406" s="167"/>
      <c r="Z406" s="167"/>
    </row>
    <row r="407" spans="5:26" ht="12.75" customHeight="1">
      <c r="E407" s="264"/>
      <c r="F407" s="264"/>
      <c r="O407" s="149"/>
      <c r="P407" s="149"/>
      <c r="V407" s="167"/>
      <c r="W407" s="167"/>
      <c r="X407" s="167"/>
      <c r="Y407" s="167"/>
      <c r="Z407" s="167"/>
    </row>
    <row r="408" spans="5:26" ht="12.75" customHeight="1">
      <c r="E408" s="264"/>
      <c r="F408" s="264"/>
      <c r="O408" s="149"/>
      <c r="P408" s="149"/>
      <c r="V408" s="167"/>
      <c r="W408" s="167"/>
      <c r="X408" s="167"/>
      <c r="Y408" s="167"/>
      <c r="Z408" s="167"/>
    </row>
    <row r="409" spans="5:26" ht="12.75" customHeight="1">
      <c r="E409" s="264"/>
      <c r="F409" s="264"/>
      <c r="O409" s="149"/>
      <c r="P409" s="149"/>
      <c r="V409" s="167"/>
      <c r="W409" s="167"/>
      <c r="X409" s="167"/>
      <c r="Y409" s="167"/>
      <c r="Z409" s="167"/>
    </row>
    <row r="410" spans="5:26" ht="12.75" customHeight="1">
      <c r="E410" s="264"/>
      <c r="F410" s="264"/>
      <c r="O410" s="149"/>
      <c r="P410" s="149"/>
      <c r="V410" s="167"/>
      <c r="W410" s="167"/>
      <c r="X410" s="167"/>
      <c r="Y410" s="167"/>
      <c r="Z410" s="167"/>
    </row>
    <row r="411" spans="5:26" ht="12.75" customHeight="1">
      <c r="E411" s="264"/>
      <c r="F411" s="264"/>
      <c r="O411" s="149"/>
      <c r="P411" s="149"/>
      <c r="V411" s="167"/>
      <c r="W411" s="167"/>
      <c r="X411" s="167"/>
      <c r="Y411" s="167"/>
      <c r="Z411" s="167"/>
    </row>
    <row r="412" spans="5:26" ht="12.75" customHeight="1">
      <c r="E412" s="264"/>
      <c r="F412" s="264"/>
      <c r="O412" s="149"/>
      <c r="P412" s="149"/>
      <c r="V412" s="167"/>
      <c r="W412" s="167"/>
      <c r="X412" s="167"/>
      <c r="Y412" s="167"/>
      <c r="Z412" s="167"/>
    </row>
    <row r="413" spans="5:26" ht="12.75" customHeight="1">
      <c r="E413" s="264"/>
      <c r="F413" s="264"/>
      <c r="O413" s="149"/>
      <c r="P413" s="149"/>
      <c r="V413" s="167"/>
      <c r="W413" s="167"/>
      <c r="X413" s="167"/>
      <c r="Y413" s="167"/>
      <c r="Z413" s="167"/>
    </row>
    <row r="414" spans="5:26" ht="12.75" customHeight="1">
      <c r="E414" s="264"/>
      <c r="F414" s="264"/>
      <c r="O414" s="149"/>
      <c r="P414" s="149"/>
      <c r="V414" s="167"/>
      <c r="W414" s="167"/>
      <c r="X414" s="167"/>
      <c r="Y414" s="167"/>
      <c r="Z414" s="167"/>
    </row>
    <row r="415" spans="5:26" ht="12.75" customHeight="1">
      <c r="E415" s="264"/>
      <c r="F415" s="264"/>
      <c r="O415" s="149"/>
      <c r="P415" s="149"/>
      <c r="V415" s="167"/>
      <c r="W415" s="167"/>
      <c r="X415" s="167"/>
      <c r="Y415" s="167"/>
      <c r="Z415" s="167"/>
    </row>
    <row r="416" spans="5:26" ht="12.75" customHeight="1">
      <c r="E416" s="264"/>
      <c r="F416" s="264"/>
      <c r="O416" s="149"/>
      <c r="P416" s="149"/>
      <c r="V416" s="167"/>
      <c r="W416" s="167"/>
      <c r="X416" s="167"/>
      <c r="Y416" s="167"/>
      <c r="Z416" s="167"/>
    </row>
    <row r="417" spans="5:26" ht="12.75" customHeight="1">
      <c r="E417" s="264"/>
      <c r="F417" s="264"/>
      <c r="O417" s="149"/>
      <c r="P417" s="149"/>
      <c r="V417" s="167"/>
      <c r="W417" s="167"/>
      <c r="X417" s="167"/>
      <c r="Y417" s="167"/>
      <c r="Z417" s="167"/>
    </row>
    <row r="418" spans="5:26" ht="12.75" customHeight="1">
      <c r="E418" s="264"/>
      <c r="F418" s="264"/>
      <c r="O418" s="149"/>
      <c r="P418" s="149"/>
      <c r="V418" s="167"/>
      <c r="W418" s="167"/>
      <c r="X418" s="167"/>
      <c r="Y418" s="167"/>
      <c r="Z418" s="167"/>
    </row>
    <row r="419" spans="5:26" ht="12.75" customHeight="1">
      <c r="E419" s="264"/>
      <c r="F419" s="264"/>
      <c r="O419" s="149"/>
      <c r="P419" s="149"/>
      <c r="V419" s="167"/>
      <c r="W419" s="167"/>
      <c r="X419" s="167"/>
      <c r="Y419" s="167"/>
      <c r="Z419" s="167"/>
    </row>
    <row r="420" spans="5:26" ht="12.75" customHeight="1">
      <c r="E420" s="264"/>
      <c r="F420" s="264"/>
      <c r="O420" s="149"/>
      <c r="P420" s="149"/>
      <c r="V420" s="167"/>
      <c r="W420" s="167"/>
      <c r="X420" s="167"/>
      <c r="Y420" s="167"/>
      <c r="Z420" s="167"/>
    </row>
    <row r="421" spans="5:26" ht="12.75" customHeight="1">
      <c r="E421" s="264"/>
      <c r="F421" s="264"/>
      <c r="O421" s="149"/>
      <c r="P421" s="149"/>
      <c r="V421" s="167"/>
      <c r="W421" s="167"/>
      <c r="X421" s="167"/>
      <c r="Y421" s="167"/>
      <c r="Z421" s="167"/>
    </row>
    <row r="422" spans="5:26" ht="12.75" customHeight="1">
      <c r="E422" s="264"/>
      <c r="F422" s="264"/>
      <c r="O422" s="149"/>
      <c r="P422" s="149"/>
      <c r="V422" s="167"/>
      <c r="W422" s="167"/>
      <c r="X422" s="167"/>
      <c r="Y422" s="167"/>
      <c r="Z422" s="167"/>
    </row>
    <row r="423" spans="5:26" ht="12.75" customHeight="1">
      <c r="E423" s="264"/>
      <c r="F423" s="264"/>
      <c r="O423" s="149"/>
      <c r="P423" s="149"/>
      <c r="V423" s="167"/>
      <c r="W423" s="167"/>
      <c r="X423" s="167"/>
      <c r="Y423" s="167"/>
      <c r="Z423" s="167"/>
    </row>
    <row r="424" spans="5:26" ht="12.75" customHeight="1">
      <c r="E424" s="264"/>
      <c r="F424" s="264"/>
      <c r="O424" s="149"/>
      <c r="P424" s="149"/>
      <c r="V424" s="167"/>
      <c r="W424" s="167"/>
      <c r="X424" s="167"/>
      <c r="Y424" s="167"/>
      <c r="Z424" s="167"/>
    </row>
    <row r="425" spans="5:26" ht="12.75" customHeight="1">
      <c r="E425" s="264"/>
      <c r="F425" s="264"/>
      <c r="O425" s="149"/>
      <c r="P425" s="149"/>
      <c r="V425" s="167"/>
      <c r="W425" s="167"/>
      <c r="X425" s="167"/>
      <c r="Y425" s="167"/>
      <c r="Z425" s="167"/>
    </row>
    <row r="426" spans="5:26" ht="12.75" customHeight="1">
      <c r="E426" s="264"/>
      <c r="F426" s="264"/>
      <c r="O426" s="149"/>
      <c r="P426" s="149"/>
      <c r="V426" s="167"/>
      <c r="W426" s="167"/>
      <c r="X426" s="167"/>
      <c r="Y426" s="167"/>
      <c r="Z426" s="167"/>
    </row>
    <row r="427" spans="5:26" ht="12.75" customHeight="1">
      <c r="E427" s="264"/>
      <c r="F427" s="264"/>
      <c r="O427" s="149"/>
      <c r="P427" s="149"/>
      <c r="V427" s="167"/>
      <c r="W427" s="167"/>
      <c r="X427" s="167"/>
      <c r="Y427" s="167"/>
      <c r="Z427" s="167"/>
    </row>
    <row r="428" spans="5:26" ht="12.75" customHeight="1">
      <c r="E428" s="264"/>
      <c r="F428" s="264"/>
      <c r="O428" s="149"/>
      <c r="P428" s="149"/>
      <c r="V428" s="167"/>
      <c r="W428" s="167"/>
      <c r="X428" s="167"/>
      <c r="Y428" s="167"/>
      <c r="Z428" s="167"/>
    </row>
    <row r="429" spans="5:26" ht="12.75" customHeight="1">
      <c r="E429" s="264"/>
      <c r="F429" s="264"/>
      <c r="O429" s="149"/>
      <c r="P429" s="149"/>
      <c r="V429" s="167"/>
      <c r="W429" s="167"/>
      <c r="X429" s="167"/>
      <c r="Y429" s="167"/>
      <c r="Z429" s="167"/>
    </row>
    <row r="430" spans="5:26" ht="12.75" customHeight="1">
      <c r="E430" s="264"/>
      <c r="F430" s="264"/>
      <c r="O430" s="149"/>
      <c r="P430" s="149"/>
      <c r="V430" s="167"/>
      <c r="W430" s="167"/>
      <c r="X430" s="167"/>
      <c r="Y430" s="167"/>
      <c r="Z430" s="167"/>
    </row>
    <row r="431" spans="5:26" ht="12.75" customHeight="1">
      <c r="E431" s="264"/>
      <c r="F431" s="264"/>
      <c r="O431" s="149"/>
      <c r="P431" s="149"/>
      <c r="V431" s="167"/>
      <c r="W431" s="167"/>
      <c r="X431" s="167"/>
      <c r="Y431" s="167"/>
      <c r="Z431" s="167"/>
    </row>
    <row r="432" spans="5:26" ht="12.75" customHeight="1">
      <c r="E432" s="264"/>
      <c r="F432" s="264"/>
      <c r="O432" s="149"/>
      <c r="P432" s="149"/>
      <c r="V432" s="167"/>
      <c r="W432" s="167"/>
      <c r="X432" s="167"/>
      <c r="Y432" s="167"/>
      <c r="Z432" s="167"/>
    </row>
    <row r="433" spans="5:26" ht="12.75" customHeight="1">
      <c r="E433" s="264"/>
      <c r="F433" s="264"/>
      <c r="O433" s="149"/>
      <c r="P433" s="149"/>
      <c r="V433" s="167"/>
      <c r="W433" s="167"/>
      <c r="X433" s="167"/>
      <c r="Y433" s="167"/>
      <c r="Z433" s="167"/>
    </row>
    <row r="434" spans="5:26" ht="12.75" customHeight="1">
      <c r="E434" s="264"/>
      <c r="F434" s="264"/>
      <c r="O434" s="149"/>
      <c r="P434" s="149"/>
      <c r="V434" s="167"/>
      <c r="W434" s="167"/>
      <c r="X434" s="167"/>
      <c r="Y434" s="167"/>
      <c r="Z434" s="167"/>
    </row>
    <row r="435" spans="5:26" ht="12.75" customHeight="1">
      <c r="E435" s="264"/>
      <c r="F435" s="264"/>
      <c r="O435" s="149"/>
      <c r="P435" s="149"/>
      <c r="V435" s="167"/>
      <c r="W435" s="167"/>
      <c r="X435" s="167"/>
      <c r="Y435" s="167"/>
      <c r="Z435" s="167"/>
    </row>
    <row r="436" spans="5:26" ht="12.75" customHeight="1">
      <c r="E436" s="264"/>
      <c r="F436" s="264"/>
      <c r="O436" s="149"/>
      <c r="P436" s="149"/>
      <c r="V436" s="167"/>
      <c r="W436" s="167"/>
      <c r="X436" s="167"/>
      <c r="Y436" s="167"/>
      <c r="Z436" s="167"/>
    </row>
    <row r="437" spans="5:26" ht="12.75" customHeight="1">
      <c r="E437" s="264"/>
      <c r="F437" s="264"/>
      <c r="O437" s="149"/>
      <c r="P437" s="149"/>
      <c r="V437" s="167"/>
      <c r="W437" s="167"/>
      <c r="X437" s="167"/>
      <c r="Y437" s="167"/>
      <c r="Z437" s="167"/>
    </row>
    <row r="438" spans="5:26" ht="12.75" customHeight="1">
      <c r="E438" s="264"/>
      <c r="F438" s="264"/>
      <c r="O438" s="149"/>
      <c r="P438" s="149"/>
      <c r="V438" s="167"/>
      <c r="W438" s="167"/>
      <c r="X438" s="167"/>
      <c r="Y438" s="167"/>
      <c r="Z438" s="167"/>
    </row>
    <row r="439" spans="5:26" ht="12.75" customHeight="1">
      <c r="E439" s="264"/>
      <c r="F439" s="264"/>
      <c r="O439" s="149"/>
      <c r="P439" s="149"/>
      <c r="V439" s="167"/>
      <c r="W439" s="167"/>
      <c r="X439" s="167"/>
      <c r="Y439" s="167"/>
      <c r="Z439" s="167"/>
    </row>
    <row r="440" spans="5:26" ht="12.75" customHeight="1">
      <c r="E440" s="264"/>
      <c r="F440" s="264"/>
      <c r="O440" s="149"/>
      <c r="P440" s="149"/>
      <c r="V440" s="167"/>
      <c r="W440" s="167"/>
      <c r="X440" s="167"/>
      <c r="Y440" s="167"/>
      <c r="Z440" s="167"/>
    </row>
    <row r="441" spans="5:26" ht="12.75" customHeight="1">
      <c r="E441" s="264"/>
      <c r="F441" s="264"/>
      <c r="O441" s="149"/>
      <c r="P441" s="149"/>
      <c r="V441" s="167"/>
      <c r="W441" s="167"/>
      <c r="X441" s="167"/>
      <c r="Y441" s="167"/>
      <c r="Z441" s="167"/>
    </row>
    <row r="442" spans="5:26" ht="12.75" customHeight="1">
      <c r="E442" s="264"/>
      <c r="F442" s="264"/>
      <c r="O442" s="149"/>
      <c r="P442" s="149"/>
      <c r="V442" s="167"/>
      <c r="W442" s="167"/>
      <c r="X442" s="167"/>
      <c r="Y442" s="167"/>
      <c r="Z442" s="167"/>
    </row>
    <row r="443" spans="5:26" ht="12.75" customHeight="1">
      <c r="E443" s="264"/>
      <c r="F443" s="264"/>
      <c r="O443" s="149"/>
      <c r="P443" s="149"/>
      <c r="V443" s="167"/>
      <c r="W443" s="167"/>
      <c r="X443" s="167"/>
      <c r="Y443" s="167"/>
      <c r="Z443" s="167"/>
    </row>
    <row r="444" spans="5:26" ht="12.75" customHeight="1">
      <c r="E444" s="264"/>
      <c r="F444" s="264"/>
      <c r="O444" s="149"/>
      <c r="P444" s="149"/>
      <c r="V444" s="167"/>
      <c r="W444" s="167"/>
      <c r="X444" s="167"/>
      <c r="Y444" s="167"/>
      <c r="Z444" s="167"/>
    </row>
    <row r="445" spans="5:26" ht="12.75" customHeight="1">
      <c r="E445" s="264"/>
      <c r="F445" s="264"/>
      <c r="O445" s="149"/>
      <c r="P445" s="149"/>
      <c r="V445" s="167"/>
      <c r="W445" s="167"/>
      <c r="X445" s="167"/>
      <c r="Y445" s="167"/>
      <c r="Z445" s="167"/>
    </row>
    <row r="446" spans="5:26" ht="12.75" customHeight="1">
      <c r="E446" s="264"/>
      <c r="F446" s="264"/>
      <c r="O446" s="149"/>
      <c r="P446" s="149"/>
      <c r="V446" s="167"/>
      <c r="W446" s="167"/>
      <c r="X446" s="167"/>
      <c r="Y446" s="167"/>
      <c r="Z446" s="167"/>
    </row>
    <row r="447" spans="5:26" ht="12.75" customHeight="1">
      <c r="E447" s="264"/>
      <c r="F447" s="264"/>
      <c r="O447" s="149"/>
      <c r="P447" s="149"/>
      <c r="V447" s="167"/>
      <c r="W447" s="167"/>
      <c r="X447" s="167"/>
      <c r="Y447" s="167"/>
      <c r="Z447" s="167"/>
    </row>
    <row r="448" spans="5:26" ht="12.75" customHeight="1">
      <c r="E448" s="264"/>
      <c r="F448" s="264"/>
      <c r="O448" s="149"/>
      <c r="P448" s="149"/>
      <c r="V448" s="167"/>
      <c r="W448" s="167"/>
      <c r="X448" s="167"/>
      <c r="Y448" s="167"/>
      <c r="Z448" s="167"/>
    </row>
    <row r="449" spans="5:26" ht="12.75" customHeight="1">
      <c r="E449" s="264"/>
      <c r="F449" s="264"/>
      <c r="O449" s="149"/>
      <c r="P449" s="149"/>
      <c r="V449" s="167"/>
      <c r="W449" s="167"/>
      <c r="X449" s="167"/>
      <c r="Y449" s="167"/>
      <c r="Z449" s="167"/>
    </row>
    <row r="450" spans="5:26" ht="12.75" customHeight="1">
      <c r="E450" s="264"/>
      <c r="F450" s="264"/>
      <c r="O450" s="149"/>
      <c r="P450" s="149"/>
      <c r="V450" s="167"/>
      <c r="W450" s="167"/>
      <c r="X450" s="167"/>
      <c r="Y450" s="167"/>
      <c r="Z450" s="167"/>
    </row>
    <row r="451" spans="5:26" ht="12.75" customHeight="1">
      <c r="E451" s="264"/>
      <c r="F451" s="264"/>
      <c r="O451" s="149"/>
      <c r="P451" s="149"/>
      <c r="V451" s="167"/>
      <c r="W451" s="167"/>
      <c r="X451" s="167"/>
      <c r="Y451" s="167"/>
      <c r="Z451" s="167"/>
    </row>
    <row r="452" spans="5:26" ht="12.75" customHeight="1">
      <c r="E452" s="264"/>
      <c r="F452" s="264"/>
      <c r="O452" s="149"/>
      <c r="P452" s="149"/>
      <c r="V452" s="167"/>
      <c r="W452" s="167"/>
      <c r="X452" s="167"/>
      <c r="Y452" s="167"/>
      <c r="Z452" s="167"/>
    </row>
    <row r="453" spans="5:26" ht="12.75" customHeight="1">
      <c r="E453" s="264"/>
      <c r="F453" s="264"/>
      <c r="O453" s="149"/>
      <c r="P453" s="149"/>
      <c r="V453" s="167"/>
      <c r="W453" s="167"/>
      <c r="X453" s="167"/>
      <c r="Y453" s="167"/>
      <c r="Z453" s="167"/>
    </row>
    <row r="454" spans="5:26" ht="12.75" customHeight="1">
      <c r="E454" s="264"/>
      <c r="F454" s="264"/>
      <c r="O454" s="149"/>
      <c r="P454" s="149"/>
      <c r="V454" s="167"/>
      <c r="W454" s="167"/>
      <c r="X454" s="167"/>
      <c r="Y454" s="167"/>
      <c r="Z454" s="167"/>
    </row>
    <row r="455" spans="5:26" ht="12.75" customHeight="1">
      <c r="E455" s="264"/>
      <c r="F455" s="264"/>
      <c r="O455" s="149"/>
      <c r="P455" s="149"/>
      <c r="V455" s="167"/>
      <c r="W455" s="167"/>
      <c r="X455" s="167"/>
      <c r="Y455" s="167"/>
      <c r="Z455" s="167"/>
    </row>
    <row r="456" spans="5:26" ht="12.75" customHeight="1">
      <c r="E456" s="264"/>
      <c r="F456" s="264"/>
      <c r="O456" s="149"/>
      <c r="P456" s="149"/>
      <c r="V456" s="167"/>
      <c r="W456" s="167"/>
      <c r="X456" s="167"/>
      <c r="Y456" s="167"/>
      <c r="Z456" s="167"/>
    </row>
    <row r="457" spans="5:26" ht="12.75" customHeight="1">
      <c r="E457" s="264"/>
      <c r="F457" s="264"/>
      <c r="O457" s="149"/>
      <c r="P457" s="149"/>
      <c r="V457" s="167"/>
      <c r="W457" s="167"/>
      <c r="X457" s="167"/>
      <c r="Y457" s="167"/>
      <c r="Z457" s="167"/>
    </row>
    <row r="458" spans="5:26" ht="12.75" customHeight="1">
      <c r="E458" s="264"/>
      <c r="F458" s="264"/>
      <c r="O458" s="149"/>
      <c r="P458" s="149"/>
      <c r="V458" s="167"/>
      <c r="W458" s="167"/>
      <c r="X458" s="167"/>
      <c r="Y458" s="167"/>
      <c r="Z458" s="167"/>
    </row>
    <row r="459" spans="5:26" ht="12.75" customHeight="1">
      <c r="E459" s="264"/>
      <c r="F459" s="264"/>
      <c r="O459" s="149"/>
      <c r="P459" s="149"/>
      <c r="V459" s="167"/>
      <c r="W459" s="167"/>
      <c r="X459" s="167"/>
      <c r="Y459" s="167"/>
      <c r="Z459" s="167"/>
    </row>
    <row r="460" spans="5:26" ht="12.75" customHeight="1">
      <c r="E460" s="264"/>
      <c r="F460" s="264"/>
      <c r="O460" s="149"/>
      <c r="P460" s="149"/>
      <c r="V460" s="167"/>
      <c r="W460" s="167"/>
      <c r="X460" s="167"/>
      <c r="Y460" s="167"/>
      <c r="Z460" s="167"/>
    </row>
    <row r="461" spans="5:26" ht="12.75" customHeight="1">
      <c r="E461" s="264"/>
      <c r="F461" s="264"/>
      <c r="O461" s="149"/>
      <c r="P461" s="149"/>
      <c r="V461" s="167"/>
      <c r="W461" s="167"/>
      <c r="X461" s="167"/>
      <c r="Y461" s="167"/>
      <c r="Z461" s="167"/>
    </row>
    <row r="462" spans="5:26" ht="12.75" customHeight="1">
      <c r="E462" s="264"/>
      <c r="F462" s="264"/>
      <c r="O462" s="149"/>
      <c r="P462" s="149"/>
      <c r="V462" s="167"/>
      <c r="W462" s="167"/>
      <c r="X462" s="167"/>
      <c r="Y462" s="167"/>
      <c r="Z462" s="167"/>
    </row>
    <row r="463" spans="5:26" ht="12.75" customHeight="1">
      <c r="E463" s="264"/>
      <c r="F463" s="264"/>
      <c r="O463" s="149"/>
      <c r="P463" s="149"/>
      <c r="V463" s="167"/>
      <c r="W463" s="167"/>
      <c r="X463" s="167"/>
      <c r="Y463" s="167"/>
      <c r="Z463" s="167"/>
    </row>
    <row r="464" spans="5:26" ht="12.75" customHeight="1">
      <c r="E464" s="264"/>
      <c r="F464" s="264"/>
      <c r="O464" s="149"/>
      <c r="P464" s="149"/>
      <c r="V464" s="167"/>
      <c r="W464" s="167"/>
      <c r="X464" s="167"/>
      <c r="Y464" s="167"/>
      <c r="Z464" s="167"/>
    </row>
    <row r="465" spans="5:26" ht="12.75" customHeight="1">
      <c r="E465" s="264"/>
      <c r="F465" s="264"/>
      <c r="O465" s="149"/>
      <c r="P465" s="149"/>
      <c r="V465" s="167"/>
      <c r="W465" s="167"/>
      <c r="X465" s="167"/>
      <c r="Y465" s="167"/>
      <c r="Z465" s="167"/>
    </row>
    <row r="466" spans="5:26" ht="12.75" customHeight="1">
      <c r="E466" s="264"/>
      <c r="F466" s="264"/>
      <c r="O466" s="149"/>
      <c r="P466" s="149"/>
      <c r="V466" s="167"/>
      <c r="W466" s="167"/>
      <c r="X466" s="167"/>
      <c r="Y466" s="167"/>
      <c r="Z466" s="167"/>
    </row>
    <row r="467" spans="5:26" ht="12.75" customHeight="1">
      <c r="E467" s="264"/>
      <c r="F467" s="264"/>
      <c r="O467" s="149"/>
      <c r="P467" s="149"/>
      <c r="V467" s="167"/>
      <c r="W467" s="167"/>
      <c r="X467" s="167"/>
      <c r="Y467" s="167"/>
      <c r="Z467" s="167"/>
    </row>
    <row r="468" spans="5:26" ht="12.75" customHeight="1">
      <c r="E468" s="264"/>
      <c r="F468" s="264"/>
      <c r="O468" s="149"/>
      <c r="P468" s="149"/>
      <c r="V468" s="167"/>
      <c r="W468" s="167"/>
      <c r="X468" s="167"/>
      <c r="Y468" s="167"/>
      <c r="Z468" s="167"/>
    </row>
    <row r="469" spans="5:26" ht="12.75" customHeight="1">
      <c r="E469" s="264"/>
      <c r="F469" s="264"/>
      <c r="O469" s="149"/>
      <c r="P469" s="149"/>
      <c r="V469" s="167"/>
      <c r="W469" s="167"/>
      <c r="X469" s="167"/>
      <c r="Y469" s="167"/>
      <c r="Z469" s="167"/>
    </row>
    <row r="470" spans="5:26" ht="12.75" customHeight="1">
      <c r="E470" s="264"/>
      <c r="F470" s="264"/>
      <c r="O470" s="149"/>
      <c r="P470" s="149"/>
      <c r="V470" s="167"/>
      <c r="W470" s="167"/>
      <c r="X470" s="167"/>
      <c r="Y470" s="167"/>
      <c r="Z470" s="167"/>
    </row>
    <row r="471" spans="5:26" ht="12.75" customHeight="1">
      <c r="E471" s="264"/>
      <c r="F471" s="264"/>
      <c r="O471" s="149"/>
      <c r="P471" s="149"/>
      <c r="V471" s="167"/>
      <c r="W471" s="167"/>
      <c r="X471" s="167"/>
      <c r="Y471" s="167"/>
      <c r="Z471" s="167"/>
    </row>
    <row r="472" spans="5:26" ht="12.75" customHeight="1">
      <c r="E472" s="264"/>
      <c r="F472" s="264"/>
      <c r="O472" s="149"/>
      <c r="P472" s="149"/>
      <c r="V472" s="167"/>
      <c r="W472" s="167"/>
      <c r="X472" s="167"/>
      <c r="Y472" s="167"/>
      <c r="Z472" s="167"/>
    </row>
    <row r="473" spans="5:26" ht="12.75" customHeight="1">
      <c r="E473" s="264"/>
      <c r="F473" s="264"/>
      <c r="O473" s="149"/>
      <c r="P473" s="149"/>
      <c r="V473" s="167"/>
      <c r="W473" s="167"/>
      <c r="X473" s="167"/>
      <c r="Y473" s="167"/>
      <c r="Z473" s="167"/>
    </row>
    <row r="474" spans="5:26" ht="12.75" customHeight="1">
      <c r="E474" s="264"/>
      <c r="F474" s="264"/>
      <c r="O474" s="149"/>
      <c r="P474" s="149"/>
      <c r="V474" s="167"/>
      <c r="W474" s="167"/>
      <c r="X474" s="167"/>
      <c r="Y474" s="167"/>
      <c r="Z474" s="167"/>
    </row>
    <row r="475" spans="5:26" ht="12.75" customHeight="1">
      <c r="E475" s="264"/>
      <c r="F475" s="264"/>
      <c r="O475" s="149"/>
      <c r="P475" s="149"/>
      <c r="V475" s="167"/>
      <c r="W475" s="167"/>
      <c r="X475" s="167"/>
      <c r="Y475" s="167"/>
      <c r="Z475" s="167"/>
    </row>
    <row r="476" spans="5:26" ht="12.75" customHeight="1">
      <c r="E476" s="264"/>
      <c r="F476" s="264"/>
      <c r="O476" s="149"/>
      <c r="P476" s="149"/>
      <c r="V476" s="167"/>
      <c r="W476" s="167"/>
      <c r="X476" s="167"/>
      <c r="Y476" s="167"/>
      <c r="Z476" s="167"/>
    </row>
    <row r="477" spans="5:26" ht="12.75" customHeight="1">
      <c r="E477" s="264"/>
      <c r="F477" s="264"/>
      <c r="O477" s="149"/>
      <c r="P477" s="149"/>
      <c r="V477" s="167"/>
      <c r="W477" s="167"/>
      <c r="X477" s="167"/>
      <c r="Y477" s="167"/>
      <c r="Z477" s="167"/>
    </row>
    <row r="478" spans="5:26" ht="12.75" customHeight="1">
      <c r="E478" s="264"/>
      <c r="F478" s="264"/>
      <c r="O478" s="149"/>
      <c r="P478" s="149"/>
      <c r="V478" s="167"/>
      <c r="W478" s="167"/>
      <c r="X478" s="167"/>
      <c r="Y478" s="167"/>
      <c r="Z478" s="167"/>
    </row>
    <row r="479" spans="5:26" ht="12.75" customHeight="1">
      <c r="E479" s="264"/>
      <c r="F479" s="264"/>
      <c r="O479" s="149"/>
      <c r="P479" s="149"/>
      <c r="V479" s="167"/>
      <c r="W479" s="167"/>
      <c r="X479" s="167"/>
      <c r="Y479" s="167"/>
      <c r="Z479" s="167"/>
    </row>
    <row r="480" spans="5:26" ht="12.75" customHeight="1">
      <c r="E480" s="264"/>
      <c r="F480" s="264"/>
      <c r="O480" s="149"/>
      <c r="P480" s="149"/>
      <c r="V480" s="167"/>
      <c r="W480" s="167"/>
      <c r="X480" s="167"/>
      <c r="Y480" s="167"/>
      <c r="Z480" s="167"/>
    </row>
    <row r="481" spans="5:26" ht="12.75" customHeight="1">
      <c r="E481" s="264"/>
      <c r="F481" s="264"/>
      <c r="O481" s="149"/>
      <c r="P481" s="149"/>
      <c r="V481" s="167"/>
      <c r="W481" s="167"/>
      <c r="X481" s="167"/>
      <c r="Y481" s="167"/>
      <c r="Z481" s="167"/>
    </row>
    <row r="482" spans="5:26" ht="12.75" customHeight="1">
      <c r="E482" s="264"/>
      <c r="F482" s="264"/>
      <c r="O482" s="149"/>
      <c r="P482" s="149"/>
      <c r="V482" s="167"/>
      <c r="W482" s="167"/>
      <c r="X482" s="167"/>
      <c r="Y482" s="167"/>
      <c r="Z482" s="167"/>
    </row>
    <row r="483" spans="5:26" ht="12.75" customHeight="1">
      <c r="E483" s="264"/>
      <c r="F483" s="264"/>
      <c r="O483" s="149"/>
      <c r="P483" s="149"/>
      <c r="V483" s="167"/>
      <c r="W483" s="167"/>
      <c r="X483" s="167"/>
      <c r="Y483" s="167"/>
      <c r="Z483" s="167"/>
    </row>
    <row r="484" spans="5:26" ht="12.75" customHeight="1">
      <c r="E484" s="264"/>
      <c r="F484" s="264"/>
      <c r="O484" s="149"/>
      <c r="P484" s="149"/>
      <c r="V484" s="167"/>
      <c r="W484" s="167"/>
      <c r="X484" s="167"/>
      <c r="Y484" s="167"/>
      <c r="Z484" s="167"/>
    </row>
    <row r="485" spans="5:26" ht="12.75" customHeight="1">
      <c r="E485" s="264"/>
      <c r="F485" s="264"/>
      <c r="O485" s="149"/>
      <c r="P485" s="149"/>
      <c r="V485" s="167"/>
      <c r="W485" s="167"/>
      <c r="X485" s="167"/>
      <c r="Y485" s="167"/>
      <c r="Z485" s="167"/>
    </row>
    <row r="486" spans="5:26" ht="12.75" customHeight="1">
      <c r="E486" s="264"/>
      <c r="F486" s="264"/>
      <c r="O486" s="149"/>
      <c r="P486" s="149"/>
      <c r="V486" s="167"/>
      <c r="W486" s="167"/>
      <c r="X486" s="167"/>
      <c r="Y486" s="167"/>
      <c r="Z486" s="167"/>
    </row>
    <row r="487" spans="5:26" ht="12.75" customHeight="1">
      <c r="E487" s="264"/>
      <c r="F487" s="264"/>
      <c r="O487" s="149"/>
      <c r="P487" s="149"/>
      <c r="V487" s="167"/>
      <c r="W487" s="167"/>
      <c r="X487" s="167"/>
      <c r="Y487" s="167"/>
      <c r="Z487" s="167"/>
    </row>
    <row r="488" spans="5:26" ht="12.75" customHeight="1">
      <c r="E488" s="264"/>
      <c r="F488" s="264"/>
      <c r="O488" s="149"/>
      <c r="P488" s="149"/>
      <c r="V488" s="167"/>
      <c r="W488" s="167"/>
      <c r="X488" s="167"/>
      <c r="Y488" s="167"/>
      <c r="Z488" s="167"/>
    </row>
    <row r="489" spans="5:26" ht="12.75" customHeight="1">
      <c r="E489" s="264"/>
      <c r="F489" s="264"/>
      <c r="O489" s="149"/>
      <c r="P489" s="149"/>
      <c r="V489" s="167"/>
      <c r="W489" s="167"/>
      <c r="X489" s="167"/>
      <c r="Y489" s="167"/>
      <c r="Z489" s="167"/>
    </row>
    <row r="490" spans="5:26" ht="12.75" customHeight="1">
      <c r="E490" s="264"/>
      <c r="F490" s="264"/>
      <c r="O490" s="149"/>
      <c r="P490" s="149"/>
      <c r="V490" s="167"/>
      <c r="W490" s="167"/>
      <c r="X490" s="167"/>
      <c r="Y490" s="167"/>
      <c r="Z490" s="167"/>
    </row>
    <row r="491" spans="5:26" ht="12.75" customHeight="1">
      <c r="E491" s="264"/>
      <c r="F491" s="264"/>
      <c r="O491" s="149"/>
      <c r="P491" s="149"/>
      <c r="V491" s="167"/>
      <c r="W491" s="167"/>
      <c r="X491" s="167"/>
      <c r="Y491" s="167"/>
      <c r="Z491" s="167"/>
    </row>
    <row r="492" spans="5:26" ht="12.75" customHeight="1">
      <c r="E492" s="264"/>
      <c r="F492" s="264"/>
      <c r="O492" s="149"/>
      <c r="P492" s="149"/>
      <c r="V492" s="167"/>
      <c r="W492" s="167"/>
      <c r="X492" s="167"/>
      <c r="Y492" s="167"/>
      <c r="Z492" s="167"/>
    </row>
    <row r="493" spans="5:26" ht="12.75" customHeight="1">
      <c r="E493" s="264"/>
      <c r="F493" s="264"/>
      <c r="O493" s="149"/>
      <c r="P493" s="149"/>
      <c r="V493" s="167"/>
      <c r="W493" s="167"/>
      <c r="X493" s="167"/>
      <c r="Y493" s="167"/>
      <c r="Z493" s="167"/>
    </row>
    <row r="494" spans="5:26" ht="12.75" customHeight="1">
      <c r="E494" s="264"/>
      <c r="F494" s="264"/>
      <c r="O494" s="149"/>
      <c r="P494" s="149"/>
      <c r="V494" s="167"/>
      <c r="W494" s="167"/>
      <c r="X494" s="167"/>
      <c r="Y494" s="167"/>
      <c r="Z494" s="167"/>
    </row>
    <row r="495" spans="5:26" ht="12.75" customHeight="1">
      <c r="E495" s="264"/>
      <c r="F495" s="264"/>
      <c r="O495" s="149"/>
      <c r="P495" s="149"/>
      <c r="V495" s="167"/>
      <c r="W495" s="167"/>
      <c r="X495" s="167"/>
      <c r="Y495" s="167"/>
      <c r="Z495" s="167"/>
    </row>
    <row r="496" spans="5:26" ht="12.75" customHeight="1">
      <c r="E496" s="264"/>
      <c r="F496" s="264"/>
      <c r="O496" s="149"/>
      <c r="P496" s="149"/>
      <c r="V496" s="167"/>
      <c r="W496" s="167"/>
      <c r="X496" s="167"/>
      <c r="Y496" s="167"/>
      <c r="Z496" s="167"/>
    </row>
    <row r="497" spans="5:26" ht="12.75" customHeight="1">
      <c r="E497" s="264"/>
      <c r="F497" s="264"/>
      <c r="O497" s="149"/>
      <c r="P497" s="149"/>
      <c r="V497" s="167"/>
      <c r="W497" s="167"/>
      <c r="X497" s="167"/>
      <c r="Y497" s="167"/>
      <c r="Z497" s="167"/>
    </row>
    <row r="498" spans="5:26" ht="12.75" customHeight="1">
      <c r="E498" s="264"/>
      <c r="F498" s="264"/>
      <c r="O498" s="149"/>
      <c r="P498" s="149"/>
      <c r="V498" s="167"/>
      <c r="W498" s="167"/>
      <c r="X498" s="167"/>
      <c r="Y498" s="167"/>
      <c r="Z498" s="167"/>
    </row>
    <row r="499" spans="5:26" ht="12.75" customHeight="1">
      <c r="E499" s="264"/>
      <c r="F499" s="264"/>
      <c r="O499" s="149"/>
      <c r="P499" s="149"/>
      <c r="V499" s="167"/>
      <c r="W499" s="167"/>
      <c r="X499" s="167"/>
      <c r="Y499" s="167"/>
      <c r="Z499" s="167"/>
    </row>
    <row r="500" spans="5:26" ht="12.75" customHeight="1">
      <c r="E500" s="264"/>
      <c r="F500" s="264"/>
      <c r="O500" s="149"/>
      <c r="P500" s="149"/>
      <c r="V500" s="167"/>
      <c r="W500" s="167"/>
      <c r="X500" s="167"/>
      <c r="Y500" s="167"/>
      <c r="Z500" s="167"/>
    </row>
    <row r="501" spans="5:26" ht="12.75" customHeight="1">
      <c r="E501" s="264"/>
      <c r="F501" s="264"/>
      <c r="O501" s="149"/>
      <c r="P501" s="149"/>
      <c r="V501" s="167"/>
      <c r="W501" s="167"/>
      <c r="X501" s="167"/>
      <c r="Y501" s="167"/>
      <c r="Z501" s="167"/>
    </row>
    <row r="502" spans="5:26" ht="12.75" customHeight="1">
      <c r="E502" s="264"/>
      <c r="F502" s="264"/>
      <c r="O502" s="149"/>
      <c r="P502" s="149"/>
      <c r="V502" s="167"/>
      <c r="W502" s="167"/>
      <c r="X502" s="167"/>
      <c r="Y502" s="167"/>
      <c r="Z502" s="167"/>
    </row>
    <row r="503" spans="5:26" ht="12.75" customHeight="1">
      <c r="E503" s="264"/>
      <c r="F503" s="264"/>
      <c r="O503" s="149"/>
      <c r="P503" s="149"/>
      <c r="V503" s="167"/>
      <c r="W503" s="167"/>
      <c r="X503" s="167"/>
      <c r="Y503" s="167"/>
      <c r="Z503" s="167"/>
    </row>
    <row r="504" spans="5:26" ht="12.75" customHeight="1">
      <c r="E504" s="264"/>
      <c r="F504" s="264"/>
      <c r="O504" s="149"/>
      <c r="P504" s="149"/>
      <c r="V504" s="167"/>
      <c r="W504" s="167"/>
      <c r="X504" s="167"/>
      <c r="Y504" s="167"/>
      <c r="Z504" s="167"/>
    </row>
    <row r="505" spans="5:26" ht="12.75" customHeight="1">
      <c r="E505" s="264"/>
      <c r="F505" s="264"/>
      <c r="O505" s="149"/>
      <c r="P505" s="149"/>
      <c r="V505" s="167"/>
      <c r="W505" s="167"/>
      <c r="X505" s="167"/>
      <c r="Y505" s="167"/>
      <c r="Z505" s="167"/>
    </row>
    <row r="506" spans="5:26" ht="12.75" customHeight="1">
      <c r="E506" s="264"/>
      <c r="F506" s="264"/>
      <c r="O506" s="149"/>
      <c r="P506" s="149"/>
      <c r="V506" s="167"/>
      <c r="W506" s="167"/>
      <c r="X506" s="167"/>
      <c r="Y506" s="167"/>
      <c r="Z506" s="167"/>
    </row>
    <row r="507" spans="5:26" ht="12.75" customHeight="1">
      <c r="E507" s="264"/>
      <c r="F507" s="264"/>
      <c r="O507" s="149"/>
      <c r="P507" s="149"/>
      <c r="V507" s="167"/>
      <c r="W507" s="167"/>
      <c r="X507" s="167"/>
      <c r="Y507" s="167"/>
      <c r="Z507" s="167"/>
    </row>
    <row r="508" spans="5:26" ht="12.75" customHeight="1">
      <c r="E508" s="264"/>
      <c r="F508" s="264"/>
      <c r="O508" s="149"/>
      <c r="P508" s="149"/>
      <c r="V508" s="167"/>
      <c r="W508" s="167"/>
      <c r="X508" s="167"/>
      <c r="Y508" s="167"/>
      <c r="Z508" s="167"/>
    </row>
    <row r="509" spans="5:26" ht="12.75" customHeight="1">
      <c r="E509" s="264"/>
      <c r="F509" s="264"/>
      <c r="O509" s="149"/>
      <c r="P509" s="149"/>
      <c r="V509" s="167"/>
      <c r="W509" s="167"/>
      <c r="X509" s="167"/>
      <c r="Y509" s="167"/>
      <c r="Z509" s="167"/>
    </row>
    <row r="510" spans="5:26" ht="12.75" customHeight="1">
      <c r="E510" s="264"/>
      <c r="F510" s="264"/>
      <c r="O510" s="149"/>
      <c r="P510" s="149"/>
      <c r="V510" s="167"/>
      <c r="W510" s="167"/>
      <c r="X510" s="167"/>
      <c r="Y510" s="167"/>
      <c r="Z510" s="167"/>
    </row>
    <row r="511" spans="5:26" ht="12.75" customHeight="1">
      <c r="E511" s="264"/>
      <c r="F511" s="264"/>
      <c r="O511" s="149"/>
      <c r="P511" s="149"/>
      <c r="V511" s="167"/>
      <c r="W511" s="167"/>
      <c r="X511" s="167"/>
      <c r="Y511" s="167"/>
      <c r="Z511" s="167"/>
    </row>
    <row r="512" spans="5:26" ht="12.75" customHeight="1">
      <c r="E512" s="264"/>
      <c r="F512" s="264"/>
      <c r="O512" s="149"/>
      <c r="P512" s="149"/>
      <c r="V512" s="167"/>
      <c r="W512" s="167"/>
      <c r="X512" s="167"/>
      <c r="Y512" s="167"/>
      <c r="Z512" s="167"/>
    </row>
    <row r="513" spans="5:26" ht="12.75" customHeight="1">
      <c r="E513" s="264"/>
      <c r="F513" s="264"/>
      <c r="O513" s="149"/>
      <c r="P513" s="149"/>
      <c r="V513" s="167"/>
      <c r="W513" s="167"/>
      <c r="X513" s="167"/>
      <c r="Y513" s="167"/>
      <c r="Z513" s="167"/>
    </row>
    <row r="514" spans="5:26" ht="12.75" customHeight="1">
      <c r="E514" s="264"/>
      <c r="F514" s="264"/>
      <c r="O514" s="149"/>
      <c r="P514" s="149"/>
      <c r="V514" s="167"/>
      <c r="W514" s="167"/>
      <c r="X514" s="167"/>
      <c r="Y514" s="167"/>
      <c r="Z514" s="167"/>
    </row>
    <row r="515" spans="5:26" ht="12.75" customHeight="1">
      <c r="E515" s="264"/>
      <c r="F515" s="264"/>
      <c r="O515" s="149"/>
      <c r="P515" s="149"/>
      <c r="V515" s="167"/>
      <c r="W515" s="167"/>
      <c r="X515" s="167"/>
      <c r="Y515" s="167"/>
      <c r="Z515" s="167"/>
    </row>
    <row r="516" spans="5:26" ht="12.75" customHeight="1">
      <c r="E516" s="264"/>
      <c r="F516" s="264"/>
      <c r="O516" s="149"/>
      <c r="P516" s="149"/>
      <c r="V516" s="167"/>
      <c r="W516" s="167"/>
      <c r="X516" s="167"/>
      <c r="Y516" s="167"/>
      <c r="Z516" s="167"/>
    </row>
    <row r="517" spans="5:26" ht="12.75" customHeight="1">
      <c r="E517" s="264"/>
      <c r="F517" s="264"/>
      <c r="O517" s="149"/>
      <c r="P517" s="149"/>
      <c r="V517" s="167"/>
      <c r="W517" s="167"/>
      <c r="X517" s="167"/>
      <c r="Y517" s="167"/>
      <c r="Z517" s="167"/>
    </row>
    <row r="518" spans="5:26" ht="12.75" customHeight="1">
      <c r="E518" s="264"/>
      <c r="F518" s="264"/>
      <c r="O518" s="149"/>
      <c r="P518" s="149"/>
      <c r="V518" s="167"/>
      <c r="W518" s="167"/>
      <c r="X518" s="167"/>
      <c r="Y518" s="167"/>
      <c r="Z518" s="167"/>
    </row>
    <row r="519" spans="5:26" ht="12.75" customHeight="1">
      <c r="E519" s="264"/>
      <c r="F519" s="264"/>
      <c r="O519" s="149"/>
      <c r="P519" s="149"/>
      <c r="V519" s="167"/>
      <c r="W519" s="167"/>
      <c r="X519" s="167"/>
      <c r="Y519" s="167"/>
      <c r="Z519" s="167"/>
    </row>
    <row r="520" spans="5:26" ht="12.75" customHeight="1">
      <c r="E520" s="264"/>
      <c r="F520" s="264"/>
      <c r="O520" s="149"/>
      <c r="P520" s="149"/>
      <c r="V520" s="167"/>
      <c r="W520" s="167"/>
      <c r="X520" s="167"/>
      <c r="Y520" s="167"/>
      <c r="Z520" s="167"/>
    </row>
    <row r="521" spans="5:26" ht="12.75" customHeight="1">
      <c r="E521" s="264"/>
      <c r="F521" s="264"/>
      <c r="O521" s="149"/>
      <c r="P521" s="149"/>
      <c r="V521" s="167"/>
      <c r="W521" s="167"/>
      <c r="X521" s="167"/>
      <c r="Y521" s="167"/>
      <c r="Z521" s="167"/>
    </row>
    <row r="522" spans="5:26" ht="12.75" customHeight="1">
      <c r="E522" s="264"/>
      <c r="F522" s="264"/>
      <c r="O522" s="149"/>
      <c r="P522" s="149"/>
      <c r="V522" s="167"/>
      <c r="W522" s="167"/>
      <c r="X522" s="167"/>
      <c r="Y522" s="167"/>
      <c r="Z522" s="167"/>
    </row>
    <row r="523" spans="5:26" ht="12.75" customHeight="1">
      <c r="E523" s="264"/>
      <c r="F523" s="264"/>
      <c r="O523" s="149"/>
      <c r="P523" s="149"/>
      <c r="V523" s="167"/>
      <c r="W523" s="167"/>
      <c r="X523" s="167"/>
      <c r="Y523" s="167"/>
      <c r="Z523" s="167"/>
    </row>
    <row r="524" spans="5:26" ht="12.75" customHeight="1">
      <c r="E524" s="264"/>
      <c r="F524" s="264"/>
      <c r="O524" s="149"/>
      <c r="P524" s="149"/>
      <c r="V524" s="167"/>
      <c r="W524" s="167"/>
      <c r="X524" s="167"/>
      <c r="Y524" s="167"/>
      <c r="Z524" s="167"/>
    </row>
    <row r="525" spans="5:26" ht="12.75" customHeight="1">
      <c r="E525" s="264"/>
      <c r="F525" s="264"/>
      <c r="O525" s="149"/>
      <c r="P525" s="149"/>
      <c r="V525" s="167"/>
      <c r="W525" s="167"/>
      <c r="X525" s="167"/>
      <c r="Y525" s="167"/>
      <c r="Z525" s="167"/>
    </row>
    <row r="526" spans="5:26" ht="12.75" customHeight="1">
      <c r="E526" s="264"/>
      <c r="F526" s="264"/>
      <c r="O526" s="149"/>
      <c r="P526" s="149"/>
      <c r="V526" s="167"/>
      <c r="W526" s="167"/>
      <c r="X526" s="167"/>
      <c r="Y526" s="167"/>
      <c r="Z526" s="167"/>
    </row>
    <row r="527" spans="5:26" ht="12.75" customHeight="1">
      <c r="E527" s="264"/>
      <c r="F527" s="264"/>
      <c r="O527" s="149"/>
      <c r="P527" s="149"/>
      <c r="V527" s="167"/>
      <c r="W527" s="167"/>
      <c r="X527" s="167"/>
      <c r="Y527" s="167"/>
      <c r="Z527" s="167"/>
    </row>
    <row r="528" spans="5:26" ht="12.75" customHeight="1">
      <c r="E528" s="264"/>
      <c r="F528" s="264"/>
      <c r="O528" s="149"/>
      <c r="P528" s="149"/>
      <c r="V528" s="167"/>
      <c r="W528" s="167"/>
      <c r="X528" s="167"/>
      <c r="Y528" s="167"/>
      <c r="Z528" s="167"/>
    </row>
    <row r="529" spans="5:26" ht="12.75" customHeight="1">
      <c r="E529" s="264"/>
      <c r="F529" s="264"/>
      <c r="O529" s="149"/>
      <c r="P529" s="149"/>
      <c r="V529" s="167"/>
      <c r="W529" s="167"/>
      <c r="X529" s="167"/>
      <c r="Y529" s="167"/>
      <c r="Z529" s="167"/>
    </row>
    <row r="530" spans="5:26" ht="12.75" customHeight="1">
      <c r="E530" s="264"/>
      <c r="F530" s="264"/>
      <c r="O530" s="149"/>
      <c r="P530" s="149"/>
      <c r="V530" s="167"/>
      <c r="W530" s="167"/>
      <c r="X530" s="167"/>
      <c r="Y530" s="167"/>
      <c r="Z530" s="167"/>
    </row>
    <row r="531" spans="5:26" ht="12.75" customHeight="1">
      <c r="E531" s="264"/>
      <c r="F531" s="264"/>
      <c r="O531" s="149"/>
      <c r="P531" s="149"/>
      <c r="V531" s="167"/>
      <c r="W531" s="167"/>
      <c r="X531" s="167"/>
      <c r="Y531" s="167"/>
      <c r="Z531" s="167"/>
    </row>
    <row r="532" spans="5:26" ht="12.75" customHeight="1">
      <c r="E532" s="264"/>
      <c r="F532" s="264"/>
      <c r="O532" s="149"/>
      <c r="P532" s="149"/>
      <c r="V532" s="167"/>
      <c r="W532" s="167"/>
      <c r="X532" s="167"/>
      <c r="Y532" s="167"/>
      <c r="Z532" s="167"/>
    </row>
    <row r="533" spans="5:26" ht="12.75" customHeight="1">
      <c r="E533" s="264"/>
      <c r="F533" s="264"/>
      <c r="O533" s="149"/>
      <c r="P533" s="149"/>
      <c r="V533" s="167"/>
      <c r="W533" s="167"/>
      <c r="X533" s="167"/>
      <c r="Y533" s="167"/>
      <c r="Z533" s="167"/>
    </row>
    <row r="534" spans="5:26" ht="12.75" customHeight="1">
      <c r="E534" s="264"/>
      <c r="F534" s="264"/>
      <c r="O534" s="149"/>
      <c r="P534" s="149"/>
      <c r="V534" s="167"/>
      <c r="W534" s="167"/>
      <c r="X534" s="167"/>
      <c r="Y534" s="167"/>
      <c r="Z534" s="167"/>
    </row>
    <row r="535" spans="5:26" ht="12.75" customHeight="1">
      <c r="E535" s="264"/>
      <c r="F535" s="264"/>
      <c r="O535" s="149"/>
      <c r="P535" s="149"/>
      <c r="V535" s="167"/>
      <c r="W535" s="167"/>
      <c r="X535" s="167"/>
      <c r="Y535" s="167"/>
      <c r="Z535" s="167"/>
    </row>
    <row r="536" spans="5:26" ht="12.75" customHeight="1">
      <c r="E536" s="264"/>
      <c r="F536" s="264"/>
      <c r="O536" s="149"/>
      <c r="P536" s="149"/>
      <c r="V536" s="167"/>
      <c r="W536" s="167"/>
      <c r="X536" s="167"/>
      <c r="Y536" s="167"/>
      <c r="Z536" s="167"/>
    </row>
    <row r="537" spans="5:26" ht="12.75" customHeight="1">
      <c r="E537" s="264"/>
      <c r="F537" s="264"/>
      <c r="O537" s="149"/>
      <c r="P537" s="149"/>
      <c r="V537" s="167"/>
      <c r="W537" s="167"/>
      <c r="X537" s="167"/>
      <c r="Y537" s="167"/>
      <c r="Z537" s="167"/>
    </row>
    <row r="538" spans="5:26" ht="12.75" customHeight="1">
      <c r="E538" s="264"/>
      <c r="F538" s="264"/>
      <c r="O538" s="149"/>
      <c r="P538" s="149"/>
      <c r="V538" s="167"/>
      <c r="W538" s="167"/>
      <c r="X538" s="167"/>
      <c r="Y538" s="167"/>
      <c r="Z538" s="167"/>
    </row>
    <row r="539" spans="5:26" ht="12.75" customHeight="1">
      <c r="E539" s="264"/>
      <c r="F539" s="264"/>
      <c r="O539" s="149"/>
      <c r="P539" s="149"/>
      <c r="V539" s="167"/>
      <c r="W539" s="167"/>
      <c r="X539" s="167"/>
      <c r="Y539" s="167"/>
      <c r="Z539" s="167"/>
    </row>
    <row r="540" spans="5:26" ht="12.75" customHeight="1">
      <c r="E540" s="264"/>
      <c r="F540" s="264"/>
      <c r="O540" s="149"/>
      <c r="P540" s="149"/>
      <c r="V540" s="167"/>
      <c r="W540" s="167"/>
      <c r="X540" s="167"/>
      <c r="Y540" s="167"/>
      <c r="Z540" s="167"/>
    </row>
    <row r="541" spans="5:26" ht="12.75" customHeight="1">
      <c r="E541" s="264"/>
      <c r="F541" s="264"/>
      <c r="O541" s="149"/>
      <c r="P541" s="149"/>
      <c r="V541" s="167"/>
      <c r="W541" s="167"/>
      <c r="X541" s="167"/>
      <c r="Y541" s="167"/>
      <c r="Z541" s="167"/>
    </row>
    <row r="542" spans="5:26" ht="12.75" customHeight="1">
      <c r="E542" s="264"/>
      <c r="F542" s="264"/>
      <c r="O542" s="149"/>
      <c r="P542" s="149"/>
      <c r="V542" s="167"/>
      <c r="W542" s="167"/>
      <c r="X542" s="167"/>
      <c r="Y542" s="167"/>
      <c r="Z542" s="167"/>
    </row>
    <row r="543" spans="5:26" ht="12.75" customHeight="1">
      <c r="E543" s="264"/>
      <c r="F543" s="264"/>
      <c r="O543" s="149"/>
      <c r="P543" s="149"/>
      <c r="V543" s="167"/>
      <c r="W543" s="167"/>
      <c r="X543" s="167"/>
      <c r="Y543" s="167"/>
      <c r="Z543" s="167"/>
    </row>
    <row r="544" spans="5:26" ht="12.75" customHeight="1">
      <c r="E544" s="264"/>
      <c r="F544" s="264"/>
      <c r="O544" s="149"/>
      <c r="P544" s="149"/>
      <c r="V544" s="167"/>
      <c r="W544" s="167"/>
      <c r="X544" s="167"/>
      <c r="Y544" s="167"/>
      <c r="Z544" s="167"/>
    </row>
    <row r="545" spans="5:26" ht="12.75" customHeight="1">
      <c r="E545" s="264"/>
      <c r="F545" s="264"/>
      <c r="O545" s="149"/>
      <c r="P545" s="149"/>
      <c r="V545" s="167"/>
      <c r="W545" s="167"/>
      <c r="X545" s="167"/>
      <c r="Y545" s="167"/>
      <c r="Z545" s="167"/>
    </row>
    <row r="546" spans="5:26" ht="12.75" customHeight="1">
      <c r="E546" s="264"/>
      <c r="F546" s="264"/>
      <c r="O546" s="149"/>
      <c r="P546" s="149"/>
      <c r="V546" s="167"/>
      <c r="W546" s="167"/>
      <c r="X546" s="167"/>
      <c r="Y546" s="167"/>
      <c r="Z546" s="167"/>
    </row>
    <row r="547" spans="5:26" ht="12.75" customHeight="1">
      <c r="E547" s="264"/>
      <c r="F547" s="264"/>
      <c r="O547" s="149"/>
      <c r="P547" s="149"/>
      <c r="V547" s="167"/>
      <c r="W547" s="167"/>
      <c r="X547" s="167"/>
      <c r="Y547" s="167"/>
      <c r="Z547" s="167"/>
    </row>
    <row r="548" spans="5:26" ht="12.75" customHeight="1">
      <c r="E548" s="264"/>
      <c r="F548" s="264"/>
      <c r="O548" s="149"/>
      <c r="P548" s="149"/>
      <c r="V548" s="167"/>
      <c r="W548" s="167"/>
      <c r="X548" s="167"/>
      <c r="Y548" s="167"/>
      <c r="Z548" s="167"/>
    </row>
    <row r="549" spans="5:26" ht="12.75" customHeight="1">
      <c r="E549" s="264"/>
      <c r="F549" s="264"/>
      <c r="O549" s="149"/>
      <c r="P549" s="149"/>
      <c r="V549" s="167"/>
      <c r="W549" s="167"/>
      <c r="X549" s="167"/>
      <c r="Y549" s="167"/>
      <c r="Z549" s="167"/>
    </row>
    <row r="550" spans="5:26" ht="12.75" customHeight="1">
      <c r="E550" s="264"/>
      <c r="F550" s="264"/>
      <c r="O550" s="149"/>
      <c r="P550" s="149"/>
      <c r="V550" s="167"/>
      <c r="W550" s="167"/>
      <c r="X550" s="167"/>
      <c r="Y550" s="167"/>
      <c r="Z550" s="167"/>
    </row>
    <row r="551" spans="5:26" ht="12.75" customHeight="1">
      <c r="E551" s="264"/>
      <c r="F551" s="264"/>
      <c r="O551" s="149"/>
      <c r="P551" s="149"/>
      <c r="V551" s="167"/>
      <c r="W551" s="167"/>
      <c r="X551" s="167"/>
      <c r="Y551" s="167"/>
      <c r="Z551" s="167"/>
    </row>
    <row r="552" spans="5:26" ht="12.75" customHeight="1">
      <c r="E552" s="264"/>
      <c r="F552" s="264"/>
      <c r="O552" s="149"/>
      <c r="P552" s="149"/>
      <c r="V552" s="167"/>
      <c r="W552" s="167"/>
      <c r="X552" s="167"/>
      <c r="Y552" s="167"/>
      <c r="Z552" s="167"/>
    </row>
    <row r="553" spans="5:26" ht="12.75" customHeight="1">
      <c r="E553" s="264"/>
      <c r="F553" s="264"/>
      <c r="O553" s="149"/>
      <c r="P553" s="149"/>
      <c r="V553" s="167"/>
      <c r="W553" s="167"/>
      <c r="X553" s="167"/>
      <c r="Y553" s="167"/>
      <c r="Z553" s="167"/>
    </row>
    <row r="554" spans="5:26" ht="12.75" customHeight="1">
      <c r="E554" s="264"/>
      <c r="F554" s="264"/>
      <c r="O554" s="149"/>
      <c r="P554" s="149"/>
      <c r="V554" s="167"/>
      <c r="W554" s="167"/>
      <c r="X554" s="167"/>
      <c r="Y554" s="167"/>
      <c r="Z554" s="167"/>
    </row>
    <row r="555" spans="5:26" ht="12.75" customHeight="1">
      <c r="E555" s="264"/>
      <c r="F555" s="264"/>
      <c r="O555" s="149"/>
      <c r="P555" s="149"/>
      <c r="V555" s="167"/>
      <c r="W555" s="167"/>
      <c r="X555" s="167"/>
      <c r="Y555" s="167"/>
      <c r="Z555" s="167"/>
    </row>
    <row r="556" spans="5:26" ht="12.75" customHeight="1">
      <c r="E556" s="264"/>
      <c r="F556" s="264"/>
      <c r="O556" s="149"/>
      <c r="P556" s="149"/>
      <c r="V556" s="167"/>
      <c r="W556" s="167"/>
      <c r="X556" s="167"/>
      <c r="Y556" s="167"/>
      <c r="Z556" s="167"/>
    </row>
    <row r="557" spans="5:26" ht="12.75" customHeight="1">
      <c r="E557" s="264"/>
      <c r="F557" s="264"/>
      <c r="O557" s="149"/>
      <c r="P557" s="149"/>
      <c r="V557" s="167"/>
      <c r="W557" s="167"/>
      <c r="X557" s="167"/>
      <c r="Y557" s="167"/>
      <c r="Z557" s="167"/>
    </row>
    <row r="558" spans="5:26" ht="12.75" customHeight="1">
      <c r="E558" s="264"/>
      <c r="F558" s="264"/>
      <c r="O558" s="149"/>
      <c r="P558" s="149"/>
      <c r="V558" s="167"/>
      <c r="W558" s="167"/>
      <c r="X558" s="167"/>
      <c r="Y558" s="167"/>
      <c r="Z558" s="167"/>
    </row>
    <row r="559" spans="5:26" ht="12.75" customHeight="1">
      <c r="E559" s="264"/>
      <c r="F559" s="264"/>
      <c r="O559" s="149"/>
      <c r="P559" s="149"/>
      <c r="V559" s="167"/>
      <c r="W559" s="167"/>
      <c r="X559" s="167"/>
      <c r="Y559" s="167"/>
      <c r="Z559" s="167"/>
    </row>
    <row r="560" spans="5:26" ht="12.75" customHeight="1">
      <c r="E560" s="264"/>
      <c r="F560" s="264"/>
      <c r="O560" s="149"/>
      <c r="P560" s="149"/>
      <c r="V560" s="167"/>
      <c r="W560" s="167"/>
      <c r="X560" s="167"/>
      <c r="Y560" s="167"/>
      <c r="Z560" s="167"/>
    </row>
    <row r="561" spans="5:26" ht="12.75" customHeight="1">
      <c r="E561" s="264"/>
      <c r="F561" s="264"/>
      <c r="O561" s="149"/>
      <c r="P561" s="149"/>
      <c r="V561" s="167"/>
      <c r="W561" s="167"/>
      <c r="X561" s="167"/>
      <c r="Y561" s="167"/>
      <c r="Z561" s="167"/>
    </row>
    <row r="562" spans="5:26" ht="12.75" customHeight="1">
      <c r="E562" s="264"/>
      <c r="F562" s="264"/>
      <c r="O562" s="149"/>
      <c r="P562" s="149"/>
      <c r="V562" s="167"/>
      <c r="W562" s="167"/>
      <c r="X562" s="167"/>
      <c r="Y562" s="167"/>
      <c r="Z562" s="167"/>
    </row>
    <row r="563" spans="5:26" ht="12.75" customHeight="1">
      <c r="E563" s="264"/>
      <c r="F563" s="264"/>
      <c r="O563" s="149"/>
      <c r="P563" s="149"/>
      <c r="V563" s="167"/>
      <c r="W563" s="167"/>
      <c r="X563" s="167"/>
      <c r="Y563" s="167"/>
      <c r="Z563" s="167"/>
    </row>
    <row r="564" spans="5:26" ht="12.75" customHeight="1">
      <c r="E564" s="264"/>
      <c r="F564" s="264"/>
      <c r="O564" s="149"/>
      <c r="P564" s="149"/>
      <c r="V564" s="167"/>
      <c r="W564" s="167"/>
      <c r="X564" s="167"/>
      <c r="Y564" s="167"/>
      <c r="Z564" s="167"/>
    </row>
    <row r="565" spans="5:26" ht="12.75" customHeight="1">
      <c r="E565" s="264"/>
      <c r="F565" s="264"/>
      <c r="O565" s="149"/>
      <c r="P565" s="149"/>
      <c r="V565" s="167"/>
      <c r="W565" s="167"/>
      <c r="X565" s="167"/>
      <c r="Y565" s="167"/>
      <c r="Z565" s="167"/>
    </row>
    <row r="566" spans="5:26" ht="12.75" customHeight="1">
      <c r="E566" s="264"/>
      <c r="F566" s="264"/>
      <c r="O566" s="149"/>
      <c r="P566" s="149"/>
      <c r="V566" s="167"/>
      <c r="W566" s="167"/>
      <c r="X566" s="167"/>
      <c r="Y566" s="167"/>
      <c r="Z566" s="167"/>
    </row>
    <row r="567" spans="5:26" ht="12.75" customHeight="1">
      <c r="E567" s="264"/>
      <c r="F567" s="264"/>
      <c r="O567" s="149"/>
      <c r="P567" s="149"/>
      <c r="V567" s="167"/>
      <c r="W567" s="167"/>
      <c r="X567" s="167"/>
      <c r="Y567" s="167"/>
      <c r="Z567" s="167"/>
    </row>
    <row r="568" spans="5:26" ht="12.75" customHeight="1">
      <c r="E568" s="264"/>
      <c r="F568" s="264"/>
      <c r="O568" s="149"/>
      <c r="P568" s="149"/>
      <c r="V568" s="167"/>
      <c r="W568" s="167"/>
      <c r="X568" s="167"/>
      <c r="Y568" s="167"/>
      <c r="Z568" s="167"/>
    </row>
    <row r="569" spans="5:26" ht="12.75" customHeight="1">
      <c r="E569" s="264"/>
      <c r="F569" s="264"/>
      <c r="O569" s="149"/>
      <c r="P569" s="149"/>
      <c r="V569" s="167"/>
      <c r="W569" s="167"/>
      <c r="X569" s="167"/>
      <c r="Y569" s="167"/>
      <c r="Z569" s="167"/>
    </row>
    <row r="570" spans="5:26" ht="12.75" customHeight="1">
      <c r="E570" s="264"/>
      <c r="F570" s="264"/>
      <c r="O570" s="149"/>
      <c r="P570" s="149"/>
      <c r="V570" s="167"/>
      <c r="W570" s="167"/>
      <c r="X570" s="167"/>
      <c r="Y570" s="167"/>
      <c r="Z570" s="167"/>
    </row>
    <row r="571" spans="5:26" ht="12.75" customHeight="1">
      <c r="E571" s="264"/>
      <c r="F571" s="264"/>
      <c r="O571" s="149"/>
      <c r="P571" s="149"/>
      <c r="V571" s="167"/>
      <c r="W571" s="167"/>
      <c r="X571" s="167"/>
      <c r="Y571" s="167"/>
      <c r="Z571" s="167"/>
    </row>
    <row r="572" spans="5:26" ht="12.75" customHeight="1">
      <c r="E572" s="264"/>
      <c r="F572" s="264"/>
      <c r="O572" s="149"/>
      <c r="P572" s="149"/>
      <c r="V572" s="167"/>
      <c r="W572" s="167"/>
      <c r="X572" s="167"/>
      <c r="Y572" s="167"/>
      <c r="Z572" s="167"/>
    </row>
    <row r="573" spans="5:26" ht="12.75" customHeight="1">
      <c r="E573" s="264"/>
      <c r="F573" s="264"/>
      <c r="O573" s="149"/>
      <c r="P573" s="149"/>
      <c r="V573" s="167"/>
      <c r="W573" s="167"/>
      <c r="X573" s="167"/>
      <c r="Y573" s="167"/>
      <c r="Z573" s="167"/>
    </row>
    <row r="574" spans="5:26" ht="12.75" customHeight="1">
      <c r="E574" s="264"/>
      <c r="F574" s="264"/>
      <c r="O574" s="149"/>
      <c r="P574" s="149"/>
      <c r="V574" s="167"/>
      <c r="W574" s="167"/>
      <c r="X574" s="167"/>
      <c r="Y574" s="167"/>
      <c r="Z574" s="167"/>
    </row>
    <row r="575" spans="5:26" ht="12.75" customHeight="1">
      <c r="E575" s="264"/>
      <c r="F575" s="264"/>
      <c r="O575" s="149"/>
      <c r="P575" s="149"/>
      <c r="V575" s="167"/>
      <c r="W575" s="167"/>
      <c r="X575" s="167"/>
      <c r="Y575" s="167"/>
      <c r="Z575" s="167"/>
    </row>
    <row r="576" spans="5:26" ht="12.75" customHeight="1">
      <c r="E576" s="264"/>
      <c r="F576" s="264"/>
      <c r="O576" s="149"/>
      <c r="P576" s="149"/>
      <c r="V576" s="167"/>
      <c r="W576" s="167"/>
      <c r="X576" s="167"/>
      <c r="Y576" s="167"/>
      <c r="Z576" s="167"/>
    </row>
    <row r="577" spans="5:26" ht="12.75" customHeight="1">
      <c r="E577" s="264"/>
      <c r="F577" s="264"/>
      <c r="O577" s="149"/>
      <c r="P577" s="149"/>
      <c r="V577" s="167"/>
      <c r="W577" s="167"/>
      <c r="X577" s="167"/>
      <c r="Y577" s="167"/>
      <c r="Z577" s="167"/>
    </row>
    <row r="578" spans="5:26" ht="12.75" customHeight="1">
      <c r="E578" s="264"/>
      <c r="F578" s="264"/>
      <c r="O578" s="149"/>
      <c r="P578" s="149"/>
      <c r="V578" s="167"/>
      <c r="W578" s="167"/>
      <c r="X578" s="167"/>
      <c r="Y578" s="167"/>
      <c r="Z578" s="167"/>
    </row>
    <row r="579" spans="5:26" ht="12.75" customHeight="1">
      <c r="E579" s="264"/>
      <c r="F579" s="264"/>
      <c r="O579" s="149"/>
      <c r="P579" s="149"/>
      <c r="V579" s="167"/>
      <c r="W579" s="167"/>
      <c r="X579" s="167"/>
      <c r="Y579" s="167"/>
      <c r="Z579" s="167"/>
    </row>
    <row r="580" spans="5:26" ht="12.75" customHeight="1">
      <c r="E580" s="264"/>
      <c r="F580" s="264"/>
      <c r="O580" s="149"/>
      <c r="P580" s="149"/>
      <c r="V580" s="167"/>
      <c r="W580" s="167"/>
      <c r="X580" s="167"/>
      <c r="Y580" s="167"/>
      <c r="Z580" s="167"/>
    </row>
    <row r="581" spans="5:26" ht="12.75" customHeight="1">
      <c r="E581" s="264"/>
      <c r="F581" s="264"/>
      <c r="O581" s="149"/>
      <c r="P581" s="149"/>
      <c r="V581" s="167"/>
      <c r="W581" s="167"/>
      <c r="X581" s="167"/>
      <c r="Y581" s="167"/>
      <c r="Z581" s="167"/>
    </row>
    <row r="582" spans="5:26" ht="12.75" customHeight="1">
      <c r="E582" s="264"/>
      <c r="F582" s="264"/>
      <c r="O582" s="149"/>
      <c r="P582" s="149"/>
      <c r="V582" s="167"/>
      <c r="W582" s="167"/>
      <c r="X582" s="167"/>
      <c r="Y582" s="167"/>
      <c r="Z582" s="167"/>
    </row>
    <row r="583" spans="5:26" ht="12.75" customHeight="1">
      <c r="E583" s="264"/>
      <c r="F583" s="264"/>
      <c r="O583" s="149"/>
      <c r="P583" s="149"/>
      <c r="V583" s="167"/>
      <c r="W583" s="167"/>
      <c r="X583" s="167"/>
      <c r="Y583" s="167"/>
      <c r="Z583" s="167"/>
    </row>
    <row r="584" spans="5:26" ht="12.75" customHeight="1">
      <c r="E584" s="264"/>
      <c r="F584" s="264"/>
      <c r="O584" s="149"/>
      <c r="P584" s="149"/>
      <c r="V584" s="167"/>
      <c r="W584" s="167"/>
      <c r="X584" s="167"/>
      <c r="Y584" s="167"/>
      <c r="Z584" s="167"/>
    </row>
    <row r="585" spans="5:26" ht="12.75" customHeight="1">
      <c r="E585" s="264"/>
      <c r="F585" s="264"/>
      <c r="O585" s="149"/>
      <c r="P585" s="149"/>
      <c r="V585" s="167"/>
      <c r="W585" s="167"/>
      <c r="X585" s="167"/>
      <c r="Y585" s="167"/>
      <c r="Z585" s="167"/>
    </row>
    <row r="586" spans="5:26" ht="12.75" customHeight="1">
      <c r="E586" s="264"/>
      <c r="F586" s="264"/>
      <c r="O586" s="149"/>
      <c r="P586" s="149"/>
      <c r="V586" s="167"/>
      <c r="W586" s="167"/>
      <c r="X586" s="167"/>
      <c r="Y586" s="167"/>
      <c r="Z586" s="167"/>
    </row>
    <row r="587" spans="5:26" ht="12.75" customHeight="1">
      <c r="E587" s="264"/>
      <c r="F587" s="264"/>
      <c r="O587" s="149"/>
      <c r="P587" s="149"/>
      <c r="V587" s="167"/>
      <c r="W587" s="167"/>
      <c r="X587" s="167"/>
      <c r="Y587" s="167"/>
      <c r="Z587" s="167"/>
    </row>
    <row r="588" spans="5:26" ht="12.75" customHeight="1">
      <c r="E588" s="264"/>
      <c r="F588" s="264"/>
      <c r="O588" s="149"/>
      <c r="P588" s="149"/>
      <c r="V588" s="167"/>
      <c r="W588" s="167"/>
      <c r="X588" s="167"/>
      <c r="Y588" s="167"/>
      <c r="Z588" s="167"/>
    </row>
    <row r="589" spans="5:26" ht="12.75" customHeight="1">
      <c r="E589" s="264"/>
      <c r="F589" s="264"/>
      <c r="O589" s="149"/>
      <c r="P589" s="149"/>
      <c r="V589" s="167"/>
      <c r="W589" s="167"/>
      <c r="X589" s="167"/>
      <c r="Y589" s="167"/>
      <c r="Z589" s="167"/>
    </row>
    <row r="590" spans="5:26" ht="12.75" customHeight="1">
      <c r="E590" s="264"/>
      <c r="F590" s="264"/>
      <c r="O590" s="149"/>
      <c r="P590" s="149"/>
      <c r="V590" s="167"/>
      <c r="W590" s="167"/>
      <c r="X590" s="167"/>
      <c r="Y590" s="167"/>
      <c r="Z590" s="167"/>
    </row>
    <row r="591" spans="5:26" ht="12.75" customHeight="1">
      <c r="E591" s="264"/>
      <c r="F591" s="264"/>
      <c r="O591" s="149"/>
      <c r="P591" s="149"/>
      <c r="V591" s="167"/>
      <c r="W591" s="167"/>
      <c r="X591" s="167"/>
      <c r="Y591" s="167"/>
      <c r="Z591" s="167"/>
    </row>
    <row r="592" spans="5:26" ht="12.75" customHeight="1">
      <c r="E592" s="264"/>
      <c r="F592" s="264"/>
      <c r="O592" s="149"/>
      <c r="P592" s="149"/>
      <c r="V592" s="167"/>
      <c r="W592" s="167"/>
      <c r="X592" s="167"/>
      <c r="Y592" s="167"/>
      <c r="Z592" s="167"/>
    </row>
    <row r="593" spans="5:26" ht="12.75" customHeight="1">
      <c r="E593" s="264"/>
      <c r="F593" s="264"/>
      <c r="O593" s="149"/>
      <c r="P593" s="149"/>
      <c r="V593" s="167"/>
      <c r="W593" s="167"/>
      <c r="X593" s="167"/>
      <c r="Y593" s="167"/>
      <c r="Z593" s="167"/>
    </row>
    <row r="594" spans="5:26" ht="12.75" customHeight="1">
      <c r="E594" s="264"/>
      <c r="F594" s="264"/>
      <c r="O594" s="149"/>
      <c r="P594" s="149"/>
      <c r="V594" s="167"/>
      <c r="W594" s="167"/>
      <c r="X594" s="167"/>
      <c r="Y594" s="167"/>
      <c r="Z594" s="167"/>
    </row>
    <row r="595" spans="5:26" ht="12.75" customHeight="1">
      <c r="E595" s="264"/>
      <c r="F595" s="264"/>
      <c r="O595" s="149"/>
      <c r="P595" s="149"/>
      <c r="V595" s="167"/>
      <c r="W595" s="167"/>
      <c r="X595" s="167"/>
      <c r="Y595" s="167"/>
      <c r="Z595" s="167"/>
    </row>
    <row r="596" spans="5:26" ht="12.75" customHeight="1">
      <c r="E596" s="264"/>
      <c r="F596" s="264"/>
      <c r="O596" s="149"/>
      <c r="P596" s="149"/>
      <c r="V596" s="167"/>
      <c r="W596" s="167"/>
      <c r="X596" s="167"/>
      <c r="Y596" s="167"/>
      <c r="Z596" s="167"/>
    </row>
    <row r="597" spans="5:26" ht="12.75" customHeight="1">
      <c r="E597" s="264"/>
      <c r="F597" s="264"/>
      <c r="O597" s="149"/>
      <c r="P597" s="149"/>
      <c r="V597" s="167"/>
      <c r="W597" s="167"/>
      <c r="X597" s="167"/>
      <c r="Y597" s="167"/>
      <c r="Z597" s="167"/>
    </row>
    <row r="598" spans="5:26" ht="12.75" customHeight="1">
      <c r="E598" s="264"/>
      <c r="F598" s="264"/>
      <c r="O598" s="149"/>
      <c r="P598" s="149"/>
      <c r="V598" s="167"/>
      <c r="W598" s="167"/>
      <c r="X598" s="167"/>
      <c r="Y598" s="167"/>
      <c r="Z598" s="167"/>
    </row>
    <row r="599" spans="5:26" ht="12.75" customHeight="1">
      <c r="E599" s="264"/>
      <c r="F599" s="264"/>
      <c r="O599" s="149"/>
      <c r="P599" s="149"/>
      <c r="V599" s="167"/>
      <c r="W599" s="167"/>
      <c r="X599" s="167"/>
      <c r="Y599" s="167"/>
      <c r="Z599" s="167"/>
    </row>
    <row r="600" spans="5:26" ht="12.75" customHeight="1">
      <c r="E600" s="264"/>
      <c r="F600" s="264"/>
      <c r="O600" s="149"/>
      <c r="P600" s="149"/>
      <c r="V600" s="167"/>
      <c r="W600" s="167"/>
      <c r="X600" s="167"/>
      <c r="Y600" s="167"/>
      <c r="Z600" s="167"/>
    </row>
    <row r="601" spans="5:26" ht="12.75" customHeight="1">
      <c r="E601" s="264"/>
      <c r="F601" s="264"/>
      <c r="O601" s="149"/>
      <c r="P601" s="149"/>
      <c r="V601" s="167"/>
      <c r="W601" s="167"/>
      <c r="X601" s="167"/>
      <c r="Y601" s="167"/>
      <c r="Z601" s="167"/>
    </row>
    <row r="602" spans="5:26" ht="12.75" customHeight="1">
      <c r="E602" s="264"/>
      <c r="F602" s="264"/>
      <c r="O602" s="149"/>
      <c r="P602" s="149"/>
      <c r="V602" s="167"/>
      <c r="W602" s="167"/>
      <c r="X602" s="167"/>
      <c r="Y602" s="167"/>
      <c r="Z602" s="167"/>
    </row>
    <row r="603" spans="5:26" ht="12.75" customHeight="1">
      <c r="E603" s="264"/>
      <c r="F603" s="264"/>
      <c r="O603" s="149"/>
      <c r="P603" s="149"/>
      <c r="V603" s="167"/>
      <c r="W603" s="167"/>
      <c r="X603" s="167"/>
      <c r="Y603" s="167"/>
      <c r="Z603" s="167"/>
    </row>
    <row r="604" spans="5:26" ht="12.75" customHeight="1">
      <c r="E604" s="264"/>
      <c r="F604" s="264"/>
      <c r="O604" s="149"/>
      <c r="P604" s="149"/>
      <c r="V604" s="167"/>
      <c r="W604" s="167"/>
      <c r="X604" s="167"/>
      <c r="Y604" s="167"/>
      <c r="Z604" s="167"/>
    </row>
    <row r="605" spans="5:26" ht="12.75" customHeight="1">
      <c r="E605" s="264"/>
      <c r="F605" s="264"/>
      <c r="O605" s="149"/>
      <c r="P605" s="149"/>
      <c r="V605" s="167"/>
      <c r="W605" s="167"/>
      <c r="X605" s="167"/>
      <c r="Y605" s="167"/>
      <c r="Z605" s="167"/>
    </row>
    <row r="606" spans="5:26" ht="12.75" customHeight="1">
      <c r="E606" s="264"/>
      <c r="F606" s="264"/>
      <c r="O606" s="149"/>
      <c r="P606" s="149"/>
      <c r="V606" s="167"/>
      <c r="W606" s="167"/>
      <c r="X606" s="167"/>
      <c r="Y606" s="167"/>
      <c r="Z606" s="167"/>
    </row>
    <row r="607" spans="5:26" ht="12.75" customHeight="1">
      <c r="E607" s="264"/>
      <c r="F607" s="264"/>
      <c r="O607" s="149"/>
      <c r="P607" s="149"/>
      <c r="V607" s="167"/>
      <c r="W607" s="167"/>
      <c r="X607" s="167"/>
      <c r="Y607" s="167"/>
      <c r="Z607" s="167"/>
    </row>
    <row r="608" spans="5:26" ht="12.75" customHeight="1">
      <c r="E608" s="264"/>
      <c r="F608" s="264"/>
      <c r="O608" s="149"/>
      <c r="P608" s="149"/>
      <c r="V608" s="167"/>
      <c r="W608" s="167"/>
      <c r="X608" s="167"/>
      <c r="Y608" s="167"/>
      <c r="Z608" s="167"/>
    </row>
    <row r="609" spans="5:26" ht="12.75" customHeight="1">
      <c r="E609" s="264"/>
      <c r="F609" s="264"/>
      <c r="O609" s="149"/>
      <c r="P609" s="149"/>
      <c r="V609" s="167"/>
      <c r="W609" s="167"/>
      <c r="X609" s="167"/>
      <c r="Y609" s="167"/>
      <c r="Z609" s="167"/>
    </row>
    <row r="610" spans="5:26" ht="12.75" customHeight="1">
      <c r="E610" s="264"/>
      <c r="F610" s="264"/>
      <c r="O610" s="149"/>
      <c r="P610" s="149"/>
      <c r="V610" s="167"/>
      <c r="W610" s="167"/>
      <c r="X610" s="167"/>
      <c r="Y610" s="167"/>
      <c r="Z610" s="167"/>
    </row>
    <row r="611" spans="5:26" ht="12.75" customHeight="1">
      <c r="E611" s="264"/>
      <c r="F611" s="264"/>
      <c r="O611" s="149"/>
      <c r="P611" s="149"/>
      <c r="V611" s="167"/>
      <c r="W611" s="167"/>
      <c r="X611" s="167"/>
      <c r="Y611" s="167"/>
      <c r="Z611" s="167"/>
    </row>
    <row r="612" spans="5:26" ht="12.75" customHeight="1">
      <c r="E612" s="264"/>
      <c r="F612" s="264"/>
      <c r="O612" s="149"/>
      <c r="P612" s="149"/>
      <c r="V612" s="167"/>
      <c r="W612" s="167"/>
      <c r="X612" s="167"/>
      <c r="Y612" s="167"/>
      <c r="Z612" s="167"/>
    </row>
    <row r="613" spans="5:26" ht="12.75" customHeight="1">
      <c r="E613" s="264"/>
      <c r="F613" s="264"/>
      <c r="O613" s="149"/>
      <c r="P613" s="149"/>
      <c r="V613" s="167"/>
      <c r="W613" s="167"/>
      <c r="X613" s="167"/>
      <c r="Y613" s="167"/>
      <c r="Z613" s="167"/>
    </row>
    <row r="614" spans="5:26" ht="12.75" customHeight="1">
      <c r="E614" s="264"/>
      <c r="F614" s="264"/>
      <c r="O614" s="149"/>
      <c r="P614" s="149"/>
      <c r="V614" s="167"/>
      <c r="W614" s="167"/>
      <c r="X614" s="167"/>
      <c r="Y614" s="167"/>
      <c r="Z614" s="167"/>
    </row>
    <row r="615" spans="5:26" ht="12.75" customHeight="1">
      <c r="E615" s="264"/>
      <c r="F615" s="264"/>
      <c r="O615" s="149"/>
      <c r="P615" s="149"/>
      <c r="V615" s="167"/>
      <c r="W615" s="167"/>
      <c r="X615" s="167"/>
      <c r="Y615" s="167"/>
      <c r="Z615" s="167"/>
    </row>
    <row r="616" spans="5:26" ht="12.75" customHeight="1">
      <c r="E616" s="264"/>
      <c r="F616" s="264"/>
      <c r="O616" s="149"/>
      <c r="P616" s="149"/>
      <c r="V616" s="167"/>
      <c r="W616" s="167"/>
      <c r="X616" s="167"/>
      <c r="Y616" s="167"/>
      <c r="Z616" s="167"/>
    </row>
    <row r="617" spans="5:26" ht="12.75" customHeight="1">
      <c r="E617" s="264"/>
      <c r="F617" s="264"/>
      <c r="O617" s="149"/>
      <c r="P617" s="149"/>
      <c r="V617" s="167"/>
      <c r="W617" s="167"/>
      <c r="X617" s="167"/>
      <c r="Y617" s="167"/>
      <c r="Z617" s="167"/>
    </row>
    <row r="618" spans="5:26" ht="12.75" customHeight="1">
      <c r="E618" s="264"/>
      <c r="F618" s="264"/>
      <c r="O618" s="149"/>
      <c r="P618" s="149"/>
      <c r="V618" s="167"/>
      <c r="W618" s="167"/>
      <c r="X618" s="167"/>
      <c r="Y618" s="167"/>
      <c r="Z618" s="167"/>
    </row>
    <row r="619" spans="5:26" ht="12.75" customHeight="1">
      <c r="E619" s="264"/>
      <c r="F619" s="264"/>
      <c r="O619" s="149"/>
      <c r="P619" s="149"/>
      <c r="V619" s="167"/>
      <c r="W619" s="167"/>
      <c r="X619" s="167"/>
      <c r="Y619" s="167"/>
      <c r="Z619" s="167"/>
    </row>
    <row r="620" spans="5:26" ht="12.75" customHeight="1">
      <c r="E620" s="264"/>
      <c r="F620" s="264"/>
      <c r="O620" s="149"/>
      <c r="P620" s="149"/>
      <c r="V620" s="167"/>
      <c r="W620" s="167"/>
      <c r="X620" s="167"/>
      <c r="Y620" s="167"/>
      <c r="Z620" s="167"/>
    </row>
    <row r="621" spans="5:26" ht="12.75" customHeight="1">
      <c r="E621" s="264"/>
      <c r="F621" s="264"/>
      <c r="O621" s="149"/>
      <c r="P621" s="149"/>
      <c r="V621" s="167"/>
      <c r="W621" s="167"/>
      <c r="X621" s="167"/>
      <c r="Y621" s="167"/>
      <c r="Z621" s="167"/>
    </row>
    <row r="622" spans="5:26" ht="12.75" customHeight="1">
      <c r="E622" s="264"/>
      <c r="F622" s="264"/>
      <c r="O622" s="149"/>
      <c r="P622" s="149"/>
      <c r="V622" s="167"/>
      <c r="W622" s="167"/>
      <c r="X622" s="167"/>
      <c r="Y622" s="167"/>
      <c r="Z622" s="167"/>
    </row>
    <row r="623" spans="5:26" ht="12.75" customHeight="1">
      <c r="E623" s="264"/>
      <c r="F623" s="264"/>
      <c r="O623" s="149"/>
      <c r="P623" s="149"/>
      <c r="V623" s="167"/>
      <c r="W623" s="167"/>
      <c r="X623" s="167"/>
      <c r="Y623" s="167"/>
      <c r="Z623" s="167"/>
    </row>
    <row r="624" spans="5:26" ht="12.75" customHeight="1">
      <c r="E624" s="264"/>
      <c r="F624" s="264"/>
      <c r="O624" s="149"/>
      <c r="P624" s="149"/>
      <c r="V624" s="167"/>
      <c r="W624" s="167"/>
      <c r="X624" s="167"/>
      <c r="Y624" s="167"/>
      <c r="Z624" s="167"/>
    </row>
    <row r="625" spans="5:26" ht="12.75" customHeight="1">
      <c r="E625" s="264"/>
      <c r="F625" s="264"/>
      <c r="O625" s="149"/>
      <c r="P625" s="149"/>
      <c r="V625" s="167"/>
      <c r="W625" s="167"/>
      <c r="X625" s="167"/>
      <c r="Y625" s="167"/>
      <c r="Z625" s="167"/>
    </row>
    <row r="626" spans="5:26" ht="12.75" customHeight="1">
      <c r="E626" s="264"/>
      <c r="F626" s="264"/>
      <c r="O626" s="149"/>
      <c r="P626" s="149"/>
      <c r="V626" s="167"/>
      <c r="W626" s="167"/>
      <c r="X626" s="167"/>
      <c r="Y626" s="167"/>
      <c r="Z626" s="167"/>
    </row>
    <row r="627" spans="5:26" ht="12.75" customHeight="1">
      <c r="E627" s="264"/>
      <c r="F627" s="264"/>
      <c r="O627" s="149"/>
      <c r="P627" s="149"/>
      <c r="V627" s="167"/>
      <c r="W627" s="167"/>
      <c r="X627" s="167"/>
      <c r="Y627" s="167"/>
      <c r="Z627" s="167"/>
    </row>
    <row r="628" spans="5:26" ht="12.75" customHeight="1">
      <c r="E628" s="264"/>
      <c r="F628" s="264"/>
      <c r="O628" s="149"/>
      <c r="P628" s="149"/>
      <c r="V628" s="167"/>
      <c r="W628" s="167"/>
      <c r="X628" s="167"/>
      <c r="Y628" s="167"/>
      <c r="Z628" s="167"/>
    </row>
    <row r="629" spans="5:26" ht="12.75" customHeight="1">
      <c r="E629" s="264"/>
      <c r="F629" s="264"/>
      <c r="O629" s="149"/>
      <c r="P629" s="149"/>
      <c r="V629" s="167"/>
      <c r="W629" s="167"/>
      <c r="X629" s="167"/>
      <c r="Y629" s="167"/>
      <c r="Z629" s="167"/>
    </row>
    <row r="630" spans="5:26" ht="12.75" customHeight="1">
      <c r="E630" s="264"/>
      <c r="F630" s="264"/>
      <c r="O630" s="149"/>
      <c r="P630" s="149"/>
      <c r="V630" s="167"/>
      <c r="W630" s="167"/>
      <c r="X630" s="167"/>
      <c r="Y630" s="167"/>
      <c r="Z630" s="167"/>
    </row>
    <row r="631" spans="5:26" ht="12.75" customHeight="1">
      <c r="E631" s="264"/>
      <c r="F631" s="264"/>
      <c r="O631" s="149"/>
      <c r="P631" s="149"/>
      <c r="V631" s="167"/>
      <c r="W631" s="167"/>
      <c r="X631" s="167"/>
      <c r="Y631" s="167"/>
      <c r="Z631" s="167"/>
    </row>
    <row r="632" spans="5:26" ht="12.75" customHeight="1">
      <c r="E632" s="264"/>
      <c r="F632" s="264"/>
      <c r="O632" s="149"/>
      <c r="P632" s="149"/>
      <c r="V632" s="167"/>
      <c r="W632" s="167"/>
      <c r="X632" s="167"/>
      <c r="Y632" s="167"/>
      <c r="Z632" s="167"/>
    </row>
    <row r="633" spans="5:26" ht="12.75" customHeight="1">
      <c r="E633" s="264"/>
      <c r="F633" s="264"/>
      <c r="O633" s="149"/>
      <c r="P633" s="149"/>
      <c r="V633" s="167"/>
      <c r="W633" s="167"/>
      <c r="X633" s="167"/>
      <c r="Y633" s="167"/>
      <c r="Z633" s="167"/>
    </row>
    <row r="634" spans="5:26" ht="12.75" customHeight="1">
      <c r="E634" s="264"/>
      <c r="F634" s="264"/>
      <c r="O634" s="149"/>
      <c r="P634" s="149"/>
      <c r="V634" s="167"/>
      <c r="W634" s="167"/>
      <c r="X634" s="167"/>
      <c r="Y634" s="167"/>
      <c r="Z634" s="167"/>
    </row>
    <row r="635" spans="5:26" ht="12.75" customHeight="1">
      <c r="E635" s="264"/>
      <c r="F635" s="264"/>
      <c r="O635" s="149"/>
      <c r="P635" s="149"/>
      <c r="V635" s="167"/>
      <c r="W635" s="167"/>
      <c r="X635" s="167"/>
      <c r="Y635" s="167"/>
      <c r="Z635" s="167"/>
    </row>
    <row r="636" spans="5:26" ht="12.75" customHeight="1">
      <c r="E636" s="264"/>
      <c r="F636" s="264"/>
      <c r="O636" s="149"/>
      <c r="P636" s="149"/>
      <c r="V636" s="167"/>
      <c r="W636" s="167"/>
      <c r="X636" s="167"/>
      <c r="Y636" s="167"/>
      <c r="Z636" s="167"/>
    </row>
    <row r="637" spans="5:26" ht="12.75" customHeight="1">
      <c r="E637" s="264"/>
      <c r="F637" s="264"/>
      <c r="O637" s="149"/>
      <c r="P637" s="149"/>
      <c r="V637" s="167"/>
      <c r="W637" s="167"/>
      <c r="X637" s="167"/>
      <c r="Y637" s="167"/>
      <c r="Z637" s="167"/>
    </row>
    <row r="638" spans="5:26" ht="12.75" customHeight="1">
      <c r="E638" s="264"/>
      <c r="F638" s="264"/>
      <c r="O638" s="149"/>
      <c r="P638" s="149"/>
      <c r="V638" s="167"/>
      <c r="W638" s="167"/>
      <c r="X638" s="167"/>
      <c r="Y638" s="167"/>
      <c r="Z638" s="167"/>
    </row>
    <row r="639" spans="5:26" ht="12.75" customHeight="1">
      <c r="E639" s="264"/>
      <c r="F639" s="264"/>
      <c r="O639" s="149"/>
      <c r="P639" s="149"/>
      <c r="V639" s="167"/>
      <c r="W639" s="167"/>
      <c r="X639" s="167"/>
      <c r="Y639" s="167"/>
      <c r="Z639" s="167"/>
    </row>
    <row r="640" spans="5:26" ht="12.75" customHeight="1">
      <c r="E640" s="264"/>
      <c r="F640" s="264"/>
      <c r="O640" s="149"/>
      <c r="P640" s="149"/>
      <c r="V640" s="167"/>
      <c r="W640" s="167"/>
      <c r="X640" s="167"/>
      <c r="Y640" s="167"/>
      <c r="Z640" s="167"/>
    </row>
    <row r="641" spans="5:26" ht="12.75" customHeight="1">
      <c r="E641" s="264"/>
      <c r="F641" s="264"/>
      <c r="O641" s="149"/>
      <c r="P641" s="149"/>
      <c r="V641" s="167"/>
      <c r="W641" s="167"/>
      <c r="X641" s="167"/>
      <c r="Y641" s="167"/>
      <c r="Z641" s="167"/>
    </row>
    <row r="642" spans="5:26" ht="12.75" customHeight="1">
      <c r="E642" s="264"/>
      <c r="F642" s="264"/>
      <c r="O642" s="149"/>
      <c r="P642" s="149"/>
      <c r="V642" s="167"/>
      <c r="W642" s="167"/>
      <c r="X642" s="167"/>
      <c r="Y642" s="167"/>
      <c r="Z642" s="167"/>
    </row>
    <row r="643" spans="5:26" ht="12.75" customHeight="1">
      <c r="E643" s="264"/>
      <c r="F643" s="264"/>
      <c r="O643" s="149"/>
      <c r="P643" s="149"/>
      <c r="V643" s="167"/>
      <c r="W643" s="167"/>
      <c r="X643" s="167"/>
      <c r="Y643" s="167"/>
      <c r="Z643" s="167"/>
    </row>
    <row r="644" spans="5:26" ht="12.75" customHeight="1">
      <c r="E644" s="264"/>
      <c r="F644" s="264"/>
      <c r="O644" s="149"/>
      <c r="P644" s="149"/>
      <c r="V644" s="167"/>
      <c r="W644" s="167"/>
      <c r="X644" s="167"/>
      <c r="Y644" s="167"/>
      <c r="Z644" s="167"/>
    </row>
    <row r="645" spans="5:26" ht="12.75" customHeight="1">
      <c r="E645" s="264"/>
      <c r="F645" s="264"/>
      <c r="O645" s="149"/>
      <c r="P645" s="149"/>
      <c r="V645" s="167"/>
      <c r="W645" s="167"/>
      <c r="X645" s="167"/>
      <c r="Y645" s="167"/>
      <c r="Z645" s="167"/>
    </row>
    <row r="646" spans="5:26" ht="12.75" customHeight="1">
      <c r="E646" s="264"/>
      <c r="F646" s="264"/>
      <c r="O646" s="149"/>
      <c r="P646" s="149"/>
      <c r="V646" s="167"/>
      <c r="W646" s="167"/>
      <c r="X646" s="167"/>
      <c r="Y646" s="167"/>
      <c r="Z646" s="167"/>
    </row>
    <row r="647" spans="5:26" ht="12.75" customHeight="1">
      <c r="E647" s="264"/>
      <c r="F647" s="264"/>
      <c r="O647" s="149"/>
      <c r="P647" s="149"/>
      <c r="V647" s="167"/>
      <c r="W647" s="167"/>
      <c r="X647" s="167"/>
      <c r="Y647" s="167"/>
      <c r="Z647" s="167"/>
    </row>
    <row r="648" spans="5:26" ht="12.75" customHeight="1">
      <c r="E648" s="264"/>
      <c r="F648" s="264"/>
      <c r="O648" s="149"/>
      <c r="P648" s="149"/>
      <c r="V648" s="167"/>
      <c r="W648" s="167"/>
      <c r="X648" s="167"/>
      <c r="Y648" s="167"/>
      <c r="Z648" s="167"/>
    </row>
    <row r="649" spans="5:26" ht="12.75" customHeight="1">
      <c r="E649" s="264"/>
      <c r="F649" s="264"/>
      <c r="O649" s="149"/>
      <c r="P649" s="149"/>
      <c r="V649" s="167"/>
      <c r="W649" s="167"/>
      <c r="X649" s="167"/>
      <c r="Y649" s="167"/>
      <c r="Z649" s="167"/>
    </row>
    <row r="650" spans="5:26" ht="12.75" customHeight="1">
      <c r="E650" s="264"/>
      <c r="F650" s="264"/>
      <c r="O650" s="149"/>
      <c r="P650" s="149"/>
      <c r="V650" s="167"/>
      <c r="W650" s="167"/>
      <c r="X650" s="167"/>
      <c r="Y650" s="167"/>
      <c r="Z650" s="167"/>
    </row>
    <row r="651" spans="5:26" ht="12.75" customHeight="1">
      <c r="E651" s="264"/>
      <c r="F651" s="264"/>
      <c r="O651" s="149"/>
      <c r="P651" s="149"/>
      <c r="V651" s="167"/>
      <c r="W651" s="167"/>
      <c r="X651" s="167"/>
      <c r="Y651" s="167"/>
      <c r="Z651" s="167"/>
    </row>
    <row r="652" spans="5:26" ht="12.75" customHeight="1">
      <c r="E652" s="264"/>
      <c r="F652" s="264"/>
      <c r="O652" s="149"/>
      <c r="P652" s="149"/>
      <c r="V652" s="167"/>
      <c r="W652" s="167"/>
      <c r="X652" s="167"/>
      <c r="Y652" s="167"/>
      <c r="Z652" s="167"/>
    </row>
    <row r="653" spans="5:26" ht="12.75" customHeight="1">
      <c r="E653" s="264"/>
      <c r="F653" s="264"/>
      <c r="O653" s="149"/>
      <c r="P653" s="149"/>
      <c r="V653" s="167"/>
      <c r="W653" s="167"/>
      <c r="X653" s="167"/>
      <c r="Y653" s="167"/>
      <c r="Z653" s="167"/>
    </row>
    <row r="654" spans="5:26" ht="12.75" customHeight="1">
      <c r="E654" s="264"/>
      <c r="F654" s="264"/>
      <c r="O654" s="149"/>
      <c r="P654" s="149"/>
      <c r="V654" s="167"/>
      <c r="W654" s="167"/>
      <c r="X654" s="167"/>
      <c r="Y654" s="167"/>
      <c r="Z654" s="167"/>
    </row>
    <row r="655" spans="5:26" ht="12.75" customHeight="1">
      <c r="E655" s="264"/>
      <c r="F655" s="264"/>
      <c r="O655" s="149"/>
      <c r="P655" s="149"/>
      <c r="V655" s="167"/>
      <c r="W655" s="167"/>
      <c r="X655" s="167"/>
      <c r="Y655" s="167"/>
      <c r="Z655" s="167"/>
    </row>
    <row r="656" spans="5:26" ht="12.75" customHeight="1">
      <c r="E656" s="264"/>
      <c r="F656" s="264"/>
      <c r="O656" s="149"/>
      <c r="P656" s="149"/>
      <c r="V656" s="167"/>
      <c r="W656" s="167"/>
      <c r="X656" s="167"/>
      <c r="Y656" s="167"/>
      <c r="Z656" s="167"/>
    </row>
    <row r="657" spans="5:26" ht="12.75" customHeight="1">
      <c r="E657" s="264"/>
      <c r="F657" s="264"/>
      <c r="O657" s="149"/>
      <c r="P657" s="149"/>
      <c r="V657" s="167"/>
      <c r="W657" s="167"/>
      <c r="X657" s="167"/>
      <c r="Y657" s="167"/>
      <c r="Z657" s="167"/>
    </row>
    <row r="658" spans="5:26" ht="12.75" customHeight="1">
      <c r="E658" s="264"/>
      <c r="F658" s="264"/>
      <c r="O658" s="149"/>
      <c r="P658" s="149"/>
      <c r="V658" s="167"/>
      <c r="W658" s="167"/>
      <c r="X658" s="167"/>
      <c r="Y658" s="167"/>
      <c r="Z658" s="167"/>
    </row>
    <row r="659" spans="5:26" ht="12.75" customHeight="1">
      <c r="E659" s="264"/>
      <c r="F659" s="264"/>
      <c r="O659" s="149"/>
      <c r="P659" s="149"/>
      <c r="V659" s="167"/>
      <c r="W659" s="167"/>
      <c r="X659" s="167"/>
      <c r="Y659" s="167"/>
      <c r="Z659" s="167"/>
    </row>
    <row r="660" spans="5:26" ht="12.75" customHeight="1">
      <c r="E660" s="264"/>
      <c r="F660" s="264"/>
      <c r="O660" s="149"/>
      <c r="P660" s="149"/>
      <c r="V660" s="167"/>
      <c r="W660" s="167"/>
      <c r="X660" s="167"/>
      <c r="Y660" s="167"/>
      <c r="Z660" s="167"/>
    </row>
    <row r="661" spans="5:26" ht="12.75" customHeight="1">
      <c r="E661" s="264"/>
      <c r="F661" s="264"/>
      <c r="O661" s="149"/>
      <c r="P661" s="149"/>
      <c r="V661" s="167"/>
      <c r="W661" s="167"/>
      <c r="X661" s="167"/>
      <c r="Y661" s="167"/>
      <c r="Z661" s="167"/>
    </row>
    <row r="662" spans="5:26" ht="12.75" customHeight="1">
      <c r="E662" s="264"/>
      <c r="F662" s="264"/>
      <c r="O662" s="149"/>
      <c r="P662" s="149"/>
      <c r="V662" s="167"/>
      <c r="W662" s="167"/>
      <c r="X662" s="167"/>
      <c r="Y662" s="167"/>
      <c r="Z662" s="167"/>
    </row>
    <row r="663" spans="5:26" ht="12.75" customHeight="1">
      <c r="E663" s="264"/>
      <c r="F663" s="264"/>
      <c r="O663" s="149"/>
      <c r="P663" s="149"/>
      <c r="V663" s="167"/>
      <c r="W663" s="167"/>
      <c r="X663" s="167"/>
      <c r="Y663" s="167"/>
      <c r="Z663" s="167"/>
    </row>
    <row r="664" spans="5:26" ht="12.75" customHeight="1">
      <c r="E664" s="264"/>
      <c r="F664" s="264"/>
      <c r="O664" s="149"/>
      <c r="P664" s="149"/>
      <c r="V664" s="167"/>
      <c r="W664" s="167"/>
      <c r="X664" s="167"/>
      <c r="Y664" s="167"/>
      <c r="Z664" s="167"/>
    </row>
    <row r="665" spans="5:26" ht="12.75" customHeight="1">
      <c r="E665" s="264"/>
      <c r="F665" s="264"/>
      <c r="O665" s="149"/>
      <c r="P665" s="149"/>
      <c r="V665" s="167"/>
      <c r="W665" s="167"/>
      <c r="X665" s="167"/>
      <c r="Y665" s="167"/>
      <c r="Z665" s="167"/>
    </row>
    <row r="666" spans="5:26" ht="12.75" customHeight="1">
      <c r="E666" s="264"/>
      <c r="F666" s="264"/>
      <c r="O666" s="149"/>
      <c r="P666" s="149"/>
      <c r="V666" s="167"/>
      <c r="W666" s="167"/>
      <c r="X666" s="167"/>
      <c r="Y666" s="167"/>
      <c r="Z666" s="167"/>
    </row>
    <row r="667" spans="5:26" ht="12.75" customHeight="1">
      <c r="E667" s="264"/>
      <c r="F667" s="264"/>
      <c r="O667" s="149"/>
      <c r="P667" s="149"/>
      <c r="V667" s="167"/>
      <c r="W667" s="167"/>
      <c r="X667" s="167"/>
      <c r="Y667" s="167"/>
      <c r="Z667" s="167"/>
    </row>
    <row r="668" spans="5:26" ht="12.75" customHeight="1">
      <c r="E668" s="264"/>
      <c r="F668" s="264"/>
      <c r="O668" s="149"/>
      <c r="P668" s="149"/>
      <c r="V668" s="167"/>
      <c r="W668" s="167"/>
      <c r="X668" s="167"/>
      <c r="Y668" s="167"/>
      <c r="Z668" s="167"/>
    </row>
    <row r="669" spans="5:26" ht="12.75" customHeight="1">
      <c r="E669" s="264"/>
      <c r="F669" s="264"/>
      <c r="O669" s="149"/>
      <c r="P669" s="149"/>
      <c r="V669" s="167"/>
      <c r="W669" s="167"/>
      <c r="X669" s="167"/>
      <c r="Y669" s="167"/>
      <c r="Z669" s="167"/>
    </row>
    <row r="670" spans="5:26" ht="12.75" customHeight="1">
      <c r="E670" s="264"/>
      <c r="F670" s="264"/>
      <c r="O670" s="149"/>
      <c r="P670" s="149"/>
      <c r="V670" s="167"/>
      <c r="W670" s="167"/>
      <c r="X670" s="167"/>
      <c r="Y670" s="167"/>
      <c r="Z670" s="167"/>
    </row>
    <row r="671" spans="5:26" ht="12.75" customHeight="1">
      <c r="E671" s="264"/>
      <c r="F671" s="264"/>
      <c r="O671" s="149"/>
      <c r="P671" s="149"/>
      <c r="V671" s="167"/>
      <c r="W671" s="167"/>
      <c r="X671" s="167"/>
      <c r="Y671" s="167"/>
      <c r="Z671" s="167"/>
    </row>
    <row r="672" spans="5:26" ht="12.75" customHeight="1">
      <c r="E672" s="264"/>
      <c r="F672" s="264"/>
      <c r="O672" s="149"/>
      <c r="P672" s="149"/>
      <c r="V672" s="167"/>
      <c r="W672" s="167"/>
      <c r="X672" s="167"/>
      <c r="Y672" s="167"/>
      <c r="Z672" s="167"/>
    </row>
    <row r="673" spans="5:26" ht="12.75" customHeight="1">
      <c r="E673" s="264"/>
      <c r="F673" s="264"/>
      <c r="O673" s="149"/>
      <c r="P673" s="149"/>
      <c r="V673" s="167"/>
      <c r="W673" s="167"/>
      <c r="X673" s="167"/>
      <c r="Y673" s="167"/>
      <c r="Z673" s="167"/>
    </row>
    <row r="674" spans="5:26" ht="12.75" customHeight="1">
      <c r="E674" s="264"/>
      <c r="F674" s="264"/>
      <c r="O674" s="149"/>
      <c r="P674" s="149"/>
      <c r="V674" s="167"/>
      <c r="W674" s="167"/>
      <c r="X674" s="167"/>
      <c r="Y674" s="167"/>
      <c r="Z674" s="167"/>
    </row>
    <row r="675" spans="5:26" ht="12.75" customHeight="1">
      <c r="E675" s="264"/>
      <c r="F675" s="264"/>
      <c r="O675" s="149"/>
      <c r="P675" s="149"/>
      <c r="V675" s="167"/>
      <c r="W675" s="167"/>
      <c r="X675" s="167"/>
      <c r="Y675" s="167"/>
      <c r="Z675" s="167"/>
    </row>
    <row r="676" spans="5:26" ht="12.75" customHeight="1">
      <c r="E676" s="264"/>
      <c r="F676" s="264"/>
      <c r="O676" s="149"/>
      <c r="P676" s="149"/>
      <c r="V676" s="167"/>
      <c r="W676" s="167"/>
      <c r="X676" s="167"/>
      <c r="Y676" s="167"/>
      <c r="Z676" s="167"/>
    </row>
    <row r="677" spans="5:26" ht="12.75" customHeight="1">
      <c r="E677" s="264"/>
      <c r="F677" s="264"/>
      <c r="O677" s="149"/>
      <c r="P677" s="149"/>
      <c r="V677" s="167"/>
      <c r="W677" s="167"/>
      <c r="X677" s="167"/>
      <c r="Y677" s="167"/>
      <c r="Z677" s="167"/>
    </row>
    <row r="678" spans="5:26" ht="12.75" customHeight="1">
      <c r="E678" s="264"/>
      <c r="F678" s="264"/>
      <c r="O678" s="149"/>
      <c r="P678" s="149"/>
      <c r="V678" s="167"/>
      <c r="W678" s="167"/>
      <c r="X678" s="167"/>
      <c r="Y678" s="167"/>
      <c r="Z678" s="167"/>
    </row>
    <row r="679" spans="5:26" ht="12.75" customHeight="1">
      <c r="E679" s="264"/>
      <c r="F679" s="264"/>
      <c r="O679" s="149"/>
      <c r="P679" s="149"/>
      <c r="V679" s="167"/>
      <c r="W679" s="167"/>
      <c r="X679" s="167"/>
      <c r="Y679" s="167"/>
      <c r="Z679" s="167"/>
    </row>
    <row r="680" spans="5:26" ht="12.75" customHeight="1">
      <c r="E680" s="264"/>
      <c r="F680" s="264"/>
      <c r="O680" s="149"/>
      <c r="P680" s="149"/>
      <c r="V680" s="167"/>
      <c r="W680" s="167"/>
      <c r="X680" s="167"/>
      <c r="Y680" s="167"/>
      <c r="Z680" s="167"/>
    </row>
    <row r="681" spans="5:26" ht="12.75" customHeight="1">
      <c r="E681" s="264"/>
      <c r="F681" s="264"/>
      <c r="O681" s="149"/>
      <c r="P681" s="149"/>
      <c r="V681" s="167"/>
      <c r="W681" s="167"/>
      <c r="X681" s="167"/>
      <c r="Y681" s="167"/>
      <c r="Z681" s="167"/>
    </row>
    <row r="682" spans="5:26" ht="12.75" customHeight="1">
      <c r="E682" s="264"/>
      <c r="F682" s="264"/>
      <c r="O682" s="149"/>
      <c r="P682" s="149"/>
      <c r="V682" s="167"/>
      <c r="W682" s="167"/>
      <c r="X682" s="167"/>
      <c r="Y682" s="167"/>
      <c r="Z682" s="167"/>
    </row>
    <row r="683" spans="5:26" ht="12.75" customHeight="1">
      <c r="E683" s="264"/>
      <c r="F683" s="264"/>
      <c r="O683" s="149"/>
      <c r="P683" s="149"/>
      <c r="V683" s="167"/>
      <c r="W683" s="167"/>
      <c r="X683" s="167"/>
      <c r="Y683" s="167"/>
      <c r="Z683" s="167"/>
    </row>
    <row r="684" spans="5:26" ht="12.75" customHeight="1">
      <c r="E684" s="264"/>
      <c r="F684" s="264"/>
      <c r="O684" s="149"/>
      <c r="P684" s="149"/>
      <c r="V684" s="167"/>
      <c r="W684" s="167"/>
      <c r="X684" s="167"/>
      <c r="Y684" s="167"/>
      <c r="Z684" s="167"/>
    </row>
    <row r="685" spans="5:26" ht="12.75" customHeight="1">
      <c r="E685" s="264"/>
      <c r="F685" s="264"/>
      <c r="O685" s="149"/>
      <c r="P685" s="149"/>
      <c r="V685" s="167"/>
      <c r="W685" s="167"/>
      <c r="X685" s="167"/>
      <c r="Y685" s="167"/>
      <c r="Z685" s="167"/>
    </row>
    <row r="686" spans="5:26" ht="12.75" customHeight="1">
      <c r="E686" s="264"/>
      <c r="F686" s="264"/>
      <c r="O686" s="149"/>
      <c r="P686" s="149"/>
      <c r="V686" s="167"/>
      <c r="W686" s="167"/>
      <c r="X686" s="167"/>
      <c r="Y686" s="167"/>
      <c r="Z686" s="167"/>
    </row>
    <row r="687" spans="5:26" ht="12.75" customHeight="1">
      <c r="E687" s="264"/>
      <c r="F687" s="264"/>
      <c r="O687" s="149"/>
      <c r="P687" s="149"/>
      <c r="V687" s="167"/>
      <c r="W687" s="167"/>
      <c r="X687" s="167"/>
      <c r="Y687" s="167"/>
      <c r="Z687" s="167"/>
    </row>
    <row r="688" spans="5:26" ht="12.75" customHeight="1">
      <c r="E688" s="264"/>
      <c r="F688" s="264"/>
      <c r="O688" s="149"/>
      <c r="P688" s="149"/>
      <c r="V688" s="167"/>
      <c r="W688" s="167"/>
      <c r="X688" s="167"/>
      <c r="Y688" s="167"/>
      <c r="Z688" s="167"/>
    </row>
    <row r="689" spans="5:26" ht="12.75" customHeight="1">
      <c r="E689" s="264"/>
      <c r="F689" s="264"/>
      <c r="O689" s="149"/>
      <c r="P689" s="149"/>
      <c r="V689" s="167"/>
      <c r="W689" s="167"/>
      <c r="X689" s="167"/>
      <c r="Y689" s="167"/>
      <c r="Z689" s="167"/>
    </row>
    <row r="690" spans="5:26" ht="12.75" customHeight="1">
      <c r="E690" s="264"/>
      <c r="F690" s="264"/>
      <c r="O690" s="149"/>
      <c r="P690" s="149"/>
      <c r="V690" s="167"/>
      <c r="W690" s="167"/>
      <c r="X690" s="167"/>
      <c r="Y690" s="167"/>
      <c r="Z690" s="167"/>
    </row>
    <row r="691" spans="5:26" ht="12.75" customHeight="1">
      <c r="E691" s="264"/>
      <c r="F691" s="264"/>
      <c r="O691" s="149"/>
      <c r="P691" s="149"/>
      <c r="V691" s="167"/>
      <c r="W691" s="167"/>
      <c r="X691" s="167"/>
      <c r="Y691" s="167"/>
      <c r="Z691" s="167"/>
    </row>
    <row r="692" spans="5:26" ht="12.75" customHeight="1">
      <c r="E692" s="264"/>
      <c r="F692" s="264"/>
      <c r="O692" s="149"/>
      <c r="P692" s="149"/>
      <c r="V692" s="167"/>
      <c r="W692" s="167"/>
      <c r="X692" s="167"/>
      <c r="Y692" s="167"/>
      <c r="Z692" s="167"/>
    </row>
    <row r="693" spans="5:26" ht="12.75" customHeight="1">
      <c r="E693" s="264"/>
      <c r="F693" s="264"/>
      <c r="O693" s="149"/>
      <c r="P693" s="149"/>
      <c r="V693" s="167"/>
      <c r="W693" s="167"/>
      <c r="X693" s="167"/>
      <c r="Y693" s="167"/>
      <c r="Z693" s="167"/>
    </row>
    <row r="694" spans="5:26" ht="12.75" customHeight="1">
      <c r="E694" s="264"/>
      <c r="F694" s="264"/>
      <c r="O694" s="149"/>
      <c r="P694" s="149"/>
      <c r="V694" s="167"/>
      <c r="W694" s="167"/>
      <c r="X694" s="167"/>
      <c r="Y694" s="167"/>
      <c r="Z694" s="167"/>
    </row>
    <row r="695" spans="5:26" ht="12.75" customHeight="1">
      <c r="E695" s="264"/>
      <c r="F695" s="264"/>
      <c r="O695" s="149"/>
      <c r="P695" s="149"/>
      <c r="V695" s="167"/>
      <c r="W695" s="167"/>
      <c r="X695" s="167"/>
      <c r="Y695" s="167"/>
      <c r="Z695" s="167"/>
    </row>
    <row r="696" spans="5:26" ht="12.75" customHeight="1">
      <c r="E696" s="264"/>
      <c r="F696" s="264"/>
      <c r="O696" s="149"/>
      <c r="P696" s="149"/>
      <c r="V696" s="167"/>
      <c r="W696" s="167"/>
      <c r="X696" s="167"/>
      <c r="Y696" s="167"/>
      <c r="Z696" s="167"/>
    </row>
    <row r="697" spans="5:26" ht="12.75" customHeight="1">
      <c r="E697" s="264"/>
      <c r="F697" s="264"/>
      <c r="O697" s="149"/>
      <c r="P697" s="149"/>
      <c r="V697" s="167"/>
      <c r="W697" s="167"/>
      <c r="X697" s="167"/>
      <c r="Y697" s="167"/>
      <c r="Z697" s="167"/>
    </row>
    <row r="698" spans="5:26" ht="12.75" customHeight="1">
      <c r="E698" s="264"/>
      <c r="F698" s="264"/>
      <c r="O698" s="149"/>
      <c r="P698" s="149"/>
      <c r="V698" s="167"/>
      <c r="W698" s="167"/>
      <c r="X698" s="167"/>
      <c r="Y698" s="167"/>
      <c r="Z698" s="167"/>
    </row>
    <row r="699" spans="5:26" ht="12.75" customHeight="1">
      <c r="E699" s="264"/>
      <c r="F699" s="264"/>
      <c r="O699" s="149"/>
      <c r="P699" s="149"/>
      <c r="V699" s="167"/>
      <c r="W699" s="167"/>
      <c r="X699" s="167"/>
      <c r="Y699" s="167"/>
      <c r="Z699" s="167"/>
    </row>
    <row r="700" spans="5:26" ht="12.75" customHeight="1">
      <c r="E700" s="264"/>
      <c r="F700" s="264"/>
      <c r="O700" s="149"/>
      <c r="P700" s="149"/>
      <c r="V700" s="167"/>
      <c r="W700" s="167"/>
      <c r="X700" s="167"/>
      <c r="Y700" s="167"/>
      <c r="Z700" s="167"/>
    </row>
    <row r="701" spans="5:26" ht="12.75" customHeight="1">
      <c r="E701" s="264"/>
      <c r="F701" s="264"/>
      <c r="O701" s="149"/>
      <c r="P701" s="149"/>
      <c r="V701" s="167"/>
      <c r="W701" s="167"/>
      <c r="X701" s="167"/>
      <c r="Y701" s="167"/>
      <c r="Z701" s="167"/>
    </row>
    <row r="702" spans="5:26" ht="12.75" customHeight="1">
      <c r="E702" s="264"/>
      <c r="F702" s="264"/>
      <c r="O702" s="149"/>
      <c r="P702" s="149"/>
      <c r="V702" s="167"/>
      <c r="W702" s="167"/>
      <c r="X702" s="167"/>
      <c r="Y702" s="167"/>
      <c r="Z702" s="167"/>
    </row>
    <row r="703" spans="5:26" ht="12.75" customHeight="1">
      <c r="E703" s="264"/>
      <c r="F703" s="264"/>
      <c r="O703" s="149"/>
      <c r="P703" s="149"/>
      <c r="V703" s="167"/>
      <c r="W703" s="167"/>
      <c r="X703" s="167"/>
      <c r="Y703" s="167"/>
      <c r="Z703" s="167"/>
    </row>
    <row r="704" spans="5:26" ht="12.75" customHeight="1">
      <c r="E704" s="264"/>
      <c r="F704" s="264"/>
      <c r="O704" s="149"/>
      <c r="P704" s="149"/>
      <c r="V704" s="167"/>
      <c r="W704" s="167"/>
      <c r="X704" s="167"/>
      <c r="Y704" s="167"/>
      <c r="Z704" s="167"/>
    </row>
    <row r="705" spans="5:26" ht="12.75" customHeight="1">
      <c r="E705" s="264"/>
      <c r="F705" s="264"/>
      <c r="O705" s="149"/>
      <c r="P705" s="149"/>
      <c r="V705" s="167"/>
      <c r="W705" s="167"/>
      <c r="X705" s="167"/>
      <c r="Y705" s="167"/>
      <c r="Z705" s="167"/>
    </row>
    <row r="706" spans="5:26" ht="12.75" customHeight="1">
      <c r="E706" s="264"/>
      <c r="F706" s="264"/>
      <c r="O706" s="149"/>
      <c r="P706" s="149"/>
      <c r="V706" s="167"/>
      <c r="W706" s="167"/>
      <c r="X706" s="167"/>
      <c r="Y706" s="167"/>
      <c r="Z706" s="167"/>
    </row>
    <row r="707" spans="5:26" ht="12.75" customHeight="1">
      <c r="E707" s="264"/>
      <c r="F707" s="264"/>
      <c r="O707" s="149"/>
      <c r="P707" s="149"/>
      <c r="V707" s="167"/>
      <c r="W707" s="167"/>
      <c r="X707" s="167"/>
      <c r="Y707" s="167"/>
      <c r="Z707" s="167"/>
    </row>
    <row r="708" spans="5:26" ht="12.75" customHeight="1">
      <c r="E708" s="264"/>
      <c r="F708" s="264"/>
      <c r="O708" s="149"/>
      <c r="P708" s="149"/>
      <c r="V708" s="167"/>
      <c r="W708" s="167"/>
      <c r="X708" s="167"/>
      <c r="Y708" s="167"/>
      <c r="Z708" s="167"/>
    </row>
    <row r="709" spans="5:26" ht="12.75" customHeight="1">
      <c r="E709" s="264"/>
      <c r="F709" s="264"/>
      <c r="O709" s="149"/>
      <c r="P709" s="149"/>
      <c r="V709" s="167"/>
      <c r="W709" s="167"/>
      <c r="X709" s="167"/>
      <c r="Y709" s="167"/>
      <c r="Z709" s="167"/>
    </row>
    <row r="710" spans="5:26" ht="12.75" customHeight="1">
      <c r="E710" s="264"/>
      <c r="F710" s="264"/>
      <c r="O710" s="149"/>
      <c r="P710" s="149"/>
      <c r="V710" s="167"/>
      <c r="W710" s="167"/>
      <c r="X710" s="167"/>
      <c r="Y710" s="167"/>
      <c r="Z710" s="167"/>
    </row>
    <row r="711" spans="5:26" ht="12.75" customHeight="1">
      <c r="E711" s="264"/>
      <c r="F711" s="264"/>
      <c r="O711" s="149"/>
      <c r="P711" s="149"/>
      <c r="V711" s="167"/>
      <c r="W711" s="167"/>
      <c r="X711" s="167"/>
      <c r="Y711" s="167"/>
      <c r="Z711" s="167"/>
    </row>
    <row r="712" spans="5:26" ht="12.75" customHeight="1">
      <c r="E712" s="264"/>
      <c r="F712" s="264"/>
      <c r="O712" s="149"/>
      <c r="P712" s="149"/>
      <c r="V712" s="167"/>
      <c r="W712" s="167"/>
      <c r="X712" s="167"/>
      <c r="Y712" s="167"/>
      <c r="Z712" s="167"/>
    </row>
    <row r="713" spans="5:26" ht="12.75" customHeight="1">
      <c r="E713" s="264"/>
      <c r="F713" s="264"/>
      <c r="O713" s="149"/>
      <c r="P713" s="149"/>
      <c r="V713" s="167"/>
      <c r="W713" s="167"/>
      <c r="X713" s="167"/>
      <c r="Y713" s="167"/>
      <c r="Z713" s="167"/>
    </row>
    <row r="714" spans="5:26" ht="12.75" customHeight="1">
      <c r="E714" s="264"/>
      <c r="F714" s="264"/>
      <c r="O714" s="149"/>
      <c r="P714" s="149"/>
      <c r="V714" s="167"/>
      <c r="W714" s="167"/>
      <c r="X714" s="167"/>
      <c r="Y714" s="167"/>
      <c r="Z714" s="167"/>
    </row>
    <row r="715" spans="5:26" ht="12.75" customHeight="1">
      <c r="E715" s="264"/>
      <c r="F715" s="264"/>
      <c r="O715" s="149"/>
      <c r="P715" s="149"/>
      <c r="V715" s="167"/>
      <c r="W715" s="167"/>
      <c r="X715" s="167"/>
      <c r="Y715" s="167"/>
      <c r="Z715" s="167"/>
    </row>
    <row r="716" spans="5:26" ht="12.75" customHeight="1">
      <c r="E716" s="264"/>
      <c r="F716" s="264"/>
      <c r="O716" s="149"/>
      <c r="P716" s="149"/>
      <c r="V716" s="167"/>
      <c r="W716" s="167"/>
      <c r="X716" s="167"/>
      <c r="Y716" s="167"/>
      <c r="Z716" s="167"/>
    </row>
    <row r="717" spans="5:26" ht="12.75" customHeight="1">
      <c r="E717" s="264"/>
      <c r="F717" s="264"/>
      <c r="O717" s="149"/>
      <c r="P717" s="149"/>
      <c r="V717" s="167"/>
      <c r="W717" s="167"/>
      <c r="X717" s="167"/>
      <c r="Y717" s="167"/>
      <c r="Z717" s="167"/>
    </row>
    <row r="718" spans="5:26" ht="12.75" customHeight="1">
      <c r="E718" s="264"/>
      <c r="F718" s="264"/>
      <c r="O718" s="149"/>
      <c r="P718" s="149"/>
      <c r="V718" s="167"/>
      <c r="W718" s="167"/>
      <c r="X718" s="167"/>
      <c r="Y718" s="167"/>
      <c r="Z718" s="167"/>
    </row>
    <row r="719" spans="5:26" ht="12.75" customHeight="1">
      <c r="E719" s="264"/>
      <c r="F719" s="264"/>
      <c r="O719" s="149"/>
      <c r="P719" s="149"/>
      <c r="V719" s="167"/>
      <c r="W719" s="167"/>
      <c r="X719" s="167"/>
      <c r="Y719" s="167"/>
      <c r="Z719" s="167"/>
    </row>
    <row r="720" spans="5:26" ht="12.75" customHeight="1">
      <c r="E720" s="264"/>
      <c r="F720" s="264"/>
      <c r="O720" s="149"/>
      <c r="P720" s="149"/>
      <c r="V720" s="167"/>
      <c r="W720" s="167"/>
      <c r="X720" s="167"/>
      <c r="Y720" s="167"/>
      <c r="Z720" s="167"/>
    </row>
    <row r="721" spans="5:26" ht="12.75" customHeight="1">
      <c r="E721" s="264"/>
      <c r="F721" s="264"/>
      <c r="O721" s="149"/>
      <c r="P721" s="149"/>
      <c r="V721" s="167"/>
      <c r="W721" s="167"/>
      <c r="X721" s="167"/>
      <c r="Y721" s="167"/>
      <c r="Z721" s="167"/>
    </row>
    <row r="722" spans="5:26" ht="12.75" customHeight="1">
      <c r="E722" s="264"/>
      <c r="F722" s="264"/>
      <c r="O722" s="149"/>
      <c r="P722" s="149"/>
      <c r="V722" s="167"/>
      <c r="W722" s="167"/>
      <c r="X722" s="167"/>
      <c r="Y722" s="167"/>
      <c r="Z722" s="167"/>
    </row>
    <row r="723" spans="5:26" ht="12.75" customHeight="1">
      <c r="E723" s="264"/>
      <c r="F723" s="264"/>
      <c r="O723" s="149"/>
      <c r="P723" s="149"/>
      <c r="V723" s="167"/>
      <c r="W723" s="167"/>
      <c r="X723" s="167"/>
      <c r="Y723" s="167"/>
      <c r="Z723" s="167"/>
    </row>
    <row r="724" spans="5:26" ht="12.75" customHeight="1">
      <c r="E724" s="264"/>
      <c r="F724" s="264"/>
      <c r="O724" s="149"/>
      <c r="P724" s="149"/>
      <c r="V724" s="167"/>
      <c r="W724" s="167"/>
      <c r="X724" s="167"/>
      <c r="Y724" s="167"/>
      <c r="Z724" s="167"/>
    </row>
    <row r="725" spans="5:26" ht="12.75" customHeight="1">
      <c r="E725" s="264"/>
      <c r="F725" s="264"/>
      <c r="O725" s="149"/>
      <c r="P725" s="149"/>
      <c r="V725" s="167"/>
      <c r="W725" s="167"/>
      <c r="X725" s="167"/>
      <c r="Y725" s="167"/>
      <c r="Z725" s="167"/>
    </row>
    <row r="726" spans="5:26" ht="12.75" customHeight="1">
      <c r="E726" s="264"/>
      <c r="F726" s="264"/>
      <c r="O726" s="149"/>
      <c r="P726" s="149"/>
      <c r="V726" s="167"/>
      <c r="W726" s="167"/>
      <c r="X726" s="167"/>
      <c r="Y726" s="167"/>
      <c r="Z726" s="167"/>
    </row>
    <row r="727" spans="5:26" ht="12.75" customHeight="1">
      <c r="E727" s="264"/>
      <c r="F727" s="264"/>
      <c r="O727" s="149"/>
      <c r="P727" s="149"/>
      <c r="V727" s="167"/>
      <c r="W727" s="167"/>
      <c r="X727" s="167"/>
      <c r="Y727" s="167"/>
      <c r="Z727" s="167"/>
    </row>
    <row r="728" spans="5:26" ht="12.75" customHeight="1">
      <c r="E728" s="264"/>
      <c r="F728" s="264"/>
      <c r="O728" s="149"/>
      <c r="P728" s="149"/>
      <c r="V728" s="167"/>
      <c r="W728" s="167"/>
      <c r="X728" s="167"/>
      <c r="Y728" s="167"/>
      <c r="Z728" s="167"/>
    </row>
    <row r="729" spans="5:26" ht="12.75" customHeight="1">
      <c r="E729" s="264"/>
      <c r="F729" s="264"/>
      <c r="O729" s="149"/>
      <c r="P729" s="149"/>
      <c r="V729" s="167"/>
      <c r="W729" s="167"/>
      <c r="X729" s="167"/>
      <c r="Y729" s="167"/>
      <c r="Z729" s="167"/>
    </row>
    <row r="730" spans="5:26" ht="12.75" customHeight="1">
      <c r="E730" s="264"/>
      <c r="F730" s="264"/>
      <c r="O730" s="149"/>
      <c r="P730" s="149"/>
      <c r="V730" s="167"/>
      <c r="W730" s="167"/>
      <c r="X730" s="167"/>
      <c r="Y730" s="167"/>
      <c r="Z730" s="167"/>
    </row>
    <row r="731" spans="5:26" ht="12.75" customHeight="1">
      <c r="E731" s="264"/>
      <c r="F731" s="264"/>
      <c r="O731" s="149"/>
      <c r="P731" s="149"/>
      <c r="V731" s="167"/>
      <c r="W731" s="167"/>
      <c r="X731" s="167"/>
      <c r="Y731" s="167"/>
      <c r="Z731" s="167"/>
    </row>
    <row r="732" spans="5:26" ht="12.75" customHeight="1">
      <c r="E732" s="264"/>
      <c r="F732" s="264"/>
      <c r="O732" s="149"/>
      <c r="P732" s="149"/>
      <c r="V732" s="167"/>
      <c r="W732" s="167"/>
      <c r="X732" s="167"/>
      <c r="Y732" s="167"/>
      <c r="Z732" s="167"/>
    </row>
    <row r="733" spans="5:26" ht="12.75" customHeight="1">
      <c r="E733" s="264"/>
      <c r="F733" s="264"/>
      <c r="O733" s="149"/>
      <c r="P733" s="149"/>
      <c r="V733" s="167"/>
      <c r="W733" s="167"/>
      <c r="X733" s="167"/>
      <c r="Y733" s="167"/>
      <c r="Z733" s="167"/>
    </row>
    <row r="734" spans="5:26" ht="12.75" customHeight="1">
      <c r="E734" s="264"/>
      <c r="F734" s="264"/>
      <c r="O734" s="149"/>
      <c r="P734" s="149"/>
      <c r="V734" s="167"/>
      <c r="W734" s="167"/>
      <c r="X734" s="167"/>
      <c r="Y734" s="167"/>
      <c r="Z734" s="167"/>
    </row>
    <row r="735" spans="5:26" ht="12.75" customHeight="1">
      <c r="E735" s="264"/>
      <c r="F735" s="264"/>
      <c r="O735" s="149"/>
      <c r="P735" s="149"/>
      <c r="V735" s="167"/>
      <c r="W735" s="167"/>
      <c r="X735" s="167"/>
      <c r="Y735" s="167"/>
      <c r="Z735" s="167"/>
    </row>
    <row r="736" spans="5:26" ht="12.75" customHeight="1">
      <c r="E736" s="264"/>
      <c r="F736" s="264"/>
      <c r="O736" s="149"/>
      <c r="P736" s="149"/>
      <c r="V736" s="167"/>
      <c r="W736" s="167"/>
      <c r="X736" s="167"/>
      <c r="Y736" s="167"/>
      <c r="Z736" s="167"/>
    </row>
    <row r="737" spans="5:26" ht="12.75" customHeight="1">
      <c r="E737" s="264"/>
      <c r="F737" s="264"/>
      <c r="O737" s="149"/>
      <c r="P737" s="149"/>
      <c r="V737" s="167"/>
      <c r="W737" s="167"/>
      <c r="X737" s="167"/>
      <c r="Y737" s="167"/>
      <c r="Z737" s="167"/>
    </row>
    <row r="738" spans="5:26" ht="12.75" customHeight="1">
      <c r="E738" s="264"/>
      <c r="F738" s="264"/>
      <c r="O738" s="149"/>
      <c r="P738" s="149"/>
      <c r="V738" s="167"/>
      <c r="W738" s="167"/>
      <c r="X738" s="167"/>
      <c r="Y738" s="167"/>
      <c r="Z738" s="167"/>
    </row>
    <row r="739" spans="5:26" ht="12.75" customHeight="1">
      <c r="E739" s="264"/>
      <c r="F739" s="264"/>
      <c r="O739" s="149"/>
      <c r="P739" s="149"/>
      <c r="V739" s="167"/>
      <c r="W739" s="167"/>
      <c r="X739" s="167"/>
      <c r="Y739" s="167"/>
      <c r="Z739" s="167"/>
    </row>
    <row r="740" spans="5:26" ht="12.75" customHeight="1">
      <c r="E740" s="264"/>
      <c r="F740" s="264"/>
      <c r="O740" s="149"/>
      <c r="P740" s="149"/>
      <c r="V740" s="167"/>
      <c r="W740" s="167"/>
      <c r="X740" s="167"/>
      <c r="Y740" s="167"/>
      <c r="Z740" s="167"/>
    </row>
    <row r="741" spans="5:26" ht="12.75" customHeight="1">
      <c r="E741" s="264"/>
      <c r="F741" s="264"/>
      <c r="O741" s="149"/>
      <c r="P741" s="149"/>
      <c r="V741" s="167"/>
      <c r="W741" s="167"/>
      <c r="X741" s="167"/>
      <c r="Y741" s="167"/>
      <c r="Z741" s="167"/>
    </row>
    <row r="742" spans="5:26" ht="12.75" customHeight="1">
      <c r="E742" s="264"/>
      <c r="F742" s="264"/>
      <c r="O742" s="149"/>
      <c r="P742" s="149"/>
      <c r="V742" s="167"/>
      <c r="W742" s="167"/>
      <c r="X742" s="167"/>
      <c r="Y742" s="167"/>
      <c r="Z742" s="167"/>
    </row>
    <row r="743" spans="5:26" ht="12.75" customHeight="1">
      <c r="E743" s="264"/>
      <c r="F743" s="264"/>
      <c r="O743" s="149"/>
      <c r="P743" s="149"/>
      <c r="V743" s="167"/>
      <c r="W743" s="167"/>
      <c r="X743" s="167"/>
      <c r="Y743" s="167"/>
      <c r="Z743" s="167"/>
    </row>
    <row r="744" spans="5:26" ht="12.75" customHeight="1">
      <c r="E744" s="264"/>
      <c r="F744" s="264"/>
      <c r="O744" s="149"/>
      <c r="P744" s="149"/>
      <c r="V744" s="167"/>
      <c r="W744" s="167"/>
      <c r="X744" s="167"/>
      <c r="Y744" s="167"/>
      <c r="Z744" s="167"/>
    </row>
    <row r="745" spans="5:26" ht="12.75" customHeight="1">
      <c r="E745" s="264"/>
      <c r="F745" s="264"/>
      <c r="O745" s="149"/>
      <c r="P745" s="149"/>
      <c r="V745" s="167"/>
      <c r="W745" s="167"/>
      <c r="X745" s="167"/>
      <c r="Y745" s="167"/>
      <c r="Z745" s="167"/>
    </row>
    <row r="746" spans="5:26" ht="12.75" customHeight="1">
      <c r="E746" s="264"/>
      <c r="F746" s="264"/>
      <c r="O746" s="149"/>
      <c r="P746" s="149"/>
      <c r="V746" s="167"/>
      <c r="W746" s="167"/>
      <c r="X746" s="167"/>
      <c r="Y746" s="167"/>
      <c r="Z746" s="167"/>
    </row>
    <row r="747" spans="5:26" ht="12.75" customHeight="1">
      <c r="E747" s="264"/>
      <c r="F747" s="264"/>
      <c r="O747" s="149"/>
      <c r="P747" s="149"/>
      <c r="V747" s="167"/>
      <c r="W747" s="167"/>
      <c r="X747" s="167"/>
      <c r="Y747" s="167"/>
      <c r="Z747" s="167"/>
    </row>
    <row r="748" spans="5:26" ht="12.75" customHeight="1">
      <c r="E748" s="264"/>
      <c r="F748" s="264"/>
      <c r="O748" s="149"/>
      <c r="P748" s="149"/>
      <c r="V748" s="167"/>
      <c r="W748" s="167"/>
      <c r="X748" s="167"/>
      <c r="Y748" s="167"/>
      <c r="Z748" s="167"/>
    </row>
    <row r="749" spans="5:26" ht="12.75" customHeight="1">
      <c r="E749" s="264"/>
      <c r="F749" s="264"/>
      <c r="O749" s="149"/>
      <c r="P749" s="149"/>
      <c r="V749" s="167"/>
      <c r="W749" s="167"/>
      <c r="X749" s="167"/>
      <c r="Y749" s="167"/>
      <c r="Z749" s="167"/>
    </row>
    <row r="750" spans="5:26" ht="12.75" customHeight="1">
      <c r="E750" s="264"/>
      <c r="F750" s="264"/>
      <c r="O750" s="149"/>
      <c r="P750" s="149"/>
      <c r="V750" s="167"/>
      <c r="W750" s="167"/>
      <c r="X750" s="167"/>
      <c r="Y750" s="167"/>
      <c r="Z750" s="167"/>
    </row>
    <row r="751" spans="5:26" ht="12.75" customHeight="1">
      <c r="E751" s="264"/>
      <c r="F751" s="264"/>
      <c r="O751" s="149"/>
      <c r="P751" s="149"/>
      <c r="V751" s="167"/>
      <c r="W751" s="167"/>
      <c r="X751" s="167"/>
      <c r="Y751" s="167"/>
      <c r="Z751" s="167"/>
    </row>
    <row r="752" spans="5:26" ht="12.75" customHeight="1">
      <c r="E752" s="264"/>
      <c r="F752" s="264"/>
      <c r="O752" s="149"/>
      <c r="P752" s="149"/>
      <c r="V752" s="167"/>
      <c r="W752" s="167"/>
      <c r="X752" s="167"/>
      <c r="Y752" s="167"/>
      <c r="Z752" s="167"/>
    </row>
    <row r="753" spans="5:26" ht="12.75" customHeight="1">
      <c r="E753" s="264"/>
      <c r="F753" s="264"/>
      <c r="O753" s="149"/>
      <c r="P753" s="149"/>
      <c r="V753" s="167"/>
      <c r="W753" s="167"/>
      <c r="X753" s="167"/>
      <c r="Y753" s="167"/>
      <c r="Z753" s="167"/>
    </row>
    <row r="754" spans="5:26" ht="12.75" customHeight="1">
      <c r="E754" s="264"/>
      <c r="F754" s="264"/>
      <c r="O754" s="149"/>
      <c r="P754" s="149"/>
      <c r="V754" s="167"/>
      <c r="W754" s="167"/>
      <c r="X754" s="167"/>
      <c r="Y754" s="167"/>
      <c r="Z754" s="167"/>
    </row>
    <row r="755" spans="5:26" ht="12.75" customHeight="1">
      <c r="E755" s="264"/>
      <c r="F755" s="264"/>
      <c r="O755" s="149"/>
      <c r="P755" s="149"/>
      <c r="V755" s="167"/>
      <c r="W755" s="167"/>
      <c r="X755" s="167"/>
      <c r="Y755" s="167"/>
      <c r="Z755" s="167"/>
    </row>
    <row r="756" spans="5:26" ht="12.75" customHeight="1">
      <c r="E756" s="264"/>
      <c r="F756" s="264"/>
      <c r="O756" s="149"/>
      <c r="P756" s="149"/>
      <c r="V756" s="167"/>
      <c r="W756" s="167"/>
      <c r="X756" s="167"/>
      <c r="Y756" s="167"/>
      <c r="Z756" s="167"/>
    </row>
    <row r="757" spans="5:26" ht="12.75" customHeight="1">
      <c r="E757" s="264"/>
      <c r="F757" s="264"/>
      <c r="O757" s="149"/>
      <c r="P757" s="149"/>
      <c r="V757" s="167"/>
      <c r="W757" s="167"/>
      <c r="X757" s="167"/>
      <c r="Y757" s="167"/>
      <c r="Z757" s="167"/>
    </row>
    <row r="758" spans="5:26" ht="12.75" customHeight="1">
      <c r="E758" s="264"/>
      <c r="F758" s="264"/>
      <c r="O758" s="149"/>
      <c r="P758" s="149"/>
      <c r="V758" s="167"/>
      <c r="W758" s="167"/>
      <c r="X758" s="167"/>
      <c r="Y758" s="167"/>
      <c r="Z758" s="167"/>
    </row>
    <row r="759" spans="5:26" ht="12.75" customHeight="1">
      <c r="E759" s="264"/>
      <c r="F759" s="264"/>
      <c r="O759" s="149"/>
      <c r="P759" s="149"/>
      <c r="V759" s="167"/>
      <c r="W759" s="167"/>
      <c r="X759" s="167"/>
      <c r="Y759" s="167"/>
      <c r="Z759" s="167"/>
    </row>
    <row r="760" spans="5:26" ht="12.75" customHeight="1">
      <c r="E760" s="264"/>
      <c r="F760" s="264"/>
      <c r="O760" s="149"/>
      <c r="P760" s="149"/>
      <c r="V760" s="167"/>
      <c r="W760" s="167"/>
      <c r="X760" s="167"/>
      <c r="Y760" s="167"/>
      <c r="Z760" s="167"/>
    </row>
    <row r="761" spans="5:26" ht="12.75" customHeight="1">
      <c r="E761" s="264"/>
      <c r="F761" s="264"/>
      <c r="O761" s="149"/>
      <c r="P761" s="149"/>
      <c r="V761" s="167"/>
      <c r="W761" s="167"/>
      <c r="X761" s="167"/>
      <c r="Y761" s="167"/>
      <c r="Z761" s="167"/>
    </row>
    <row r="762" spans="5:26" ht="12.75" customHeight="1">
      <c r="E762" s="264"/>
      <c r="F762" s="264"/>
      <c r="O762" s="149"/>
      <c r="P762" s="149"/>
      <c r="V762" s="167"/>
      <c r="W762" s="167"/>
      <c r="X762" s="167"/>
      <c r="Y762" s="167"/>
      <c r="Z762" s="167"/>
    </row>
    <row r="763" spans="5:26" ht="12.75" customHeight="1">
      <c r="E763" s="264"/>
      <c r="F763" s="264"/>
      <c r="O763" s="149"/>
      <c r="P763" s="149"/>
      <c r="V763" s="167"/>
      <c r="W763" s="167"/>
      <c r="X763" s="167"/>
      <c r="Y763" s="167"/>
      <c r="Z763" s="167"/>
    </row>
    <row r="764" spans="5:26" ht="12.75" customHeight="1">
      <c r="E764" s="264"/>
      <c r="F764" s="264"/>
      <c r="O764" s="149"/>
      <c r="P764" s="149"/>
      <c r="V764" s="167"/>
      <c r="W764" s="167"/>
      <c r="X764" s="167"/>
      <c r="Y764" s="167"/>
      <c r="Z764" s="167"/>
    </row>
    <row r="765" spans="5:26" ht="12.75" customHeight="1">
      <c r="E765" s="264"/>
      <c r="F765" s="264"/>
      <c r="O765" s="149"/>
      <c r="P765" s="149"/>
      <c r="V765" s="167"/>
      <c r="W765" s="167"/>
      <c r="X765" s="167"/>
      <c r="Y765" s="167"/>
      <c r="Z765" s="167"/>
    </row>
    <row r="766" spans="5:26" ht="12.75" customHeight="1">
      <c r="E766" s="264"/>
      <c r="F766" s="264"/>
      <c r="O766" s="149"/>
      <c r="P766" s="149"/>
      <c r="V766" s="167"/>
      <c r="W766" s="167"/>
      <c r="X766" s="167"/>
      <c r="Y766" s="167"/>
      <c r="Z766" s="167"/>
    </row>
    <row r="767" spans="5:26" ht="12.75" customHeight="1">
      <c r="E767" s="264"/>
      <c r="F767" s="264"/>
      <c r="O767" s="149"/>
      <c r="P767" s="149"/>
      <c r="V767" s="167"/>
      <c r="W767" s="167"/>
      <c r="X767" s="167"/>
      <c r="Y767" s="167"/>
      <c r="Z767" s="167"/>
    </row>
    <row r="768" spans="5:26" ht="12.75" customHeight="1">
      <c r="E768" s="264"/>
      <c r="F768" s="264"/>
      <c r="O768" s="149"/>
      <c r="P768" s="149"/>
      <c r="V768" s="167"/>
      <c r="W768" s="167"/>
      <c r="X768" s="167"/>
      <c r="Y768" s="167"/>
      <c r="Z768" s="167"/>
    </row>
    <row r="769" spans="5:26" ht="12.75" customHeight="1">
      <c r="E769" s="264"/>
      <c r="F769" s="264"/>
      <c r="O769" s="149"/>
      <c r="P769" s="149"/>
      <c r="V769" s="167"/>
      <c r="W769" s="167"/>
      <c r="X769" s="167"/>
      <c r="Y769" s="167"/>
      <c r="Z769" s="167"/>
    </row>
    <row r="770" spans="5:26" ht="12.75" customHeight="1">
      <c r="E770" s="264"/>
      <c r="F770" s="264"/>
      <c r="O770" s="149"/>
      <c r="P770" s="149"/>
      <c r="V770" s="167"/>
      <c r="W770" s="167"/>
      <c r="X770" s="167"/>
      <c r="Y770" s="167"/>
      <c r="Z770" s="167"/>
    </row>
    <row r="771" spans="5:26" ht="12.75" customHeight="1">
      <c r="E771" s="264"/>
      <c r="F771" s="264"/>
      <c r="O771" s="149"/>
      <c r="P771" s="149"/>
      <c r="V771" s="167"/>
      <c r="W771" s="167"/>
      <c r="X771" s="167"/>
      <c r="Y771" s="167"/>
      <c r="Z771" s="167"/>
    </row>
    <row r="772" spans="5:26" ht="12.75" customHeight="1">
      <c r="E772" s="264"/>
      <c r="F772" s="264"/>
      <c r="O772" s="149"/>
      <c r="P772" s="149"/>
      <c r="V772" s="167"/>
      <c r="W772" s="167"/>
      <c r="X772" s="167"/>
      <c r="Y772" s="167"/>
      <c r="Z772" s="167"/>
    </row>
    <row r="773" spans="5:26" ht="12.75" customHeight="1">
      <c r="E773" s="264"/>
      <c r="F773" s="264"/>
      <c r="O773" s="149"/>
      <c r="P773" s="149"/>
      <c r="V773" s="167"/>
      <c r="W773" s="167"/>
      <c r="X773" s="167"/>
      <c r="Y773" s="167"/>
      <c r="Z773" s="167"/>
    </row>
    <row r="774" spans="5:26" ht="12.75" customHeight="1">
      <c r="E774" s="264"/>
      <c r="F774" s="264"/>
      <c r="O774" s="149"/>
      <c r="P774" s="149"/>
      <c r="V774" s="167"/>
      <c r="W774" s="167"/>
      <c r="X774" s="167"/>
      <c r="Y774" s="167"/>
      <c r="Z774" s="167"/>
    </row>
    <row r="775" spans="5:26" ht="12.75" customHeight="1">
      <c r="E775" s="264"/>
      <c r="F775" s="264"/>
      <c r="O775" s="149"/>
      <c r="P775" s="149"/>
      <c r="V775" s="167"/>
      <c r="W775" s="167"/>
      <c r="X775" s="167"/>
      <c r="Y775" s="167"/>
      <c r="Z775" s="167"/>
    </row>
    <row r="776" spans="5:26" ht="12.75" customHeight="1">
      <c r="E776" s="264"/>
      <c r="F776" s="264"/>
      <c r="O776" s="149"/>
      <c r="P776" s="149"/>
      <c r="V776" s="167"/>
      <c r="W776" s="167"/>
      <c r="X776" s="167"/>
      <c r="Y776" s="167"/>
      <c r="Z776" s="167"/>
    </row>
    <row r="777" spans="5:26" ht="12.75" customHeight="1">
      <c r="E777" s="264"/>
      <c r="F777" s="264"/>
      <c r="O777" s="149"/>
      <c r="P777" s="149"/>
      <c r="V777" s="167"/>
      <c r="W777" s="167"/>
      <c r="X777" s="167"/>
      <c r="Y777" s="167"/>
      <c r="Z777" s="167"/>
    </row>
    <row r="778" spans="5:26" ht="12.75" customHeight="1">
      <c r="E778" s="264"/>
      <c r="F778" s="264"/>
      <c r="O778" s="149"/>
      <c r="P778" s="149"/>
      <c r="V778" s="167"/>
      <c r="W778" s="167"/>
      <c r="X778" s="167"/>
      <c r="Y778" s="167"/>
      <c r="Z778" s="167"/>
    </row>
    <row r="779" spans="5:26" ht="12.75" customHeight="1">
      <c r="E779" s="264"/>
      <c r="F779" s="264"/>
      <c r="O779" s="149"/>
      <c r="P779" s="149"/>
      <c r="V779" s="167"/>
      <c r="W779" s="167"/>
      <c r="X779" s="167"/>
      <c r="Y779" s="167"/>
      <c r="Z779" s="167"/>
    </row>
    <row r="780" spans="5:26" ht="12.75" customHeight="1">
      <c r="E780" s="264"/>
      <c r="F780" s="264"/>
      <c r="O780" s="149"/>
      <c r="P780" s="149"/>
      <c r="V780" s="167"/>
      <c r="W780" s="167"/>
      <c r="X780" s="167"/>
      <c r="Y780" s="167"/>
      <c r="Z780" s="167"/>
    </row>
    <row r="781" spans="5:26" ht="12.75" customHeight="1">
      <c r="E781" s="264"/>
      <c r="F781" s="264"/>
      <c r="O781" s="149"/>
      <c r="P781" s="149"/>
      <c r="V781" s="167"/>
      <c r="W781" s="167"/>
      <c r="X781" s="167"/>
      <c r="Y781" s="167"/>
      <c r="Z781" s="167"/>
    </row>
    <row r="782" spans="5:26" ht="12.75" customHeight="1">
      <c r="E782" s="264"/>
      <c r="F782" s="264"/>
      <c r="O782" s="149"/>
      <c r="P782" s="149"/>
      <c r="V782" s="167"/>
      <c r="W782" s="167"/>
      <c r="X782" s="167"/>
      <c r="Y782" s="167"/>
      <c r="Z782" s="167"/>
    </row>
    <row r="783" spans="5:26" ht="12.75" customHeight="1">
      <c r="E783" s="264"/>
      <c r="F783" s="264"/>
      <c r="O783" s="149"/>
      <c r="P783" s="149"/>
      <c r="V783" s="167"/>
      <c r="W783" s="167"/>
      <c r="X783" s="167"/>
      <c r="Y783" s="167"/>
      <c r="Z783" s="167"/>
    </row>
    <row r="784" spans="5:26" ht="12.75" customHeight="1">
      <c r="E784" s="264"/>
      <c r="F784" s="264"/>
      <c r="O784" s="149"/>
      <c r="P784" s="149"/>
      <c r="V784" s="167"/>
      <c r="W784" s="167"/>
      <c r="X784" s="167"/>
      <c r="Y784" s="167"/>
      <c r="Z784" s="167"/>
    </row>
    <row r="785" spans="5:26" ht="12.75" customHeight="1">
      <c r="E785" s="264"/>
      <c r="F785" s="264"/>
      <c r="O785" s="149"/>
      <c r="P785" s="149"/>
      <c r="V785" s="167"/>
      <c r="W785" s="167"/>
      <c r="X785" s="167"/>
      <c r="Y785" s="167"/>
      <c r="Z785" s="167"/>
    </row>
    <row r="786" spans="5:26" ht="12.75" customHeight="1">
      <c r="E786" s="264"/>
      <c r="F786" s="264"/>
      <c r="O786" s="149"/>
      <c r="P786" s="149"/>
      <c r="V786" s="167"/>
      <c r="W786" s="167"/>
      <c r="X786" s="167"/>
      <c r="Y786" s="167"/>
      <c r="Z786" s="167"/>
    </row>
    <row r="787" spans="5:26" ht="12.75" customHeight="1">
      <c r="E787" s="264"/>
      <c r="F787" s="264"/>
      <c r="O787" s="149"/>
      <c r="P787" s="149"/>
      <c r="V787" s="167"/>
      <c r="W787" s="167"/>
      <c r="X787" s="167"/>
      <c r="Y787" s="167"/>
      <c r="Z787" s="167"/>
    </row>
    <row r="788" spans="5:26" ht="12.75" customHeight="1">
      <c r="E788" s="264"/>
      <c r="F788" s="264"/>
      <c r="O788" s="149"/>
      <c r="P788" s="149"/>
      <c r="V788" s="167"/>
      <c r="W788" s="167"/>
      <c r="X788" s="167"/>
      <c r="Y788" s="167"/>
      <c r="Z788" s="167"/>
    </row>
    <row r="789" spans="5:26" ht="12.75" customHeight="1">
      <c r="E789" s="264"/>
      <c r="F789" s="264"/>
      <c r="O789" s="149"/>
      <c r="P789" s="149"/>
      <c r="V789" s="167"/>
      <c r="W789" s="167"/>
      <c r="X789" s="167"/>
      <c r="Y789" s="167"/>
      <c r="Z789" s="167"/>
    </row>
    <row r="790" spans="5:26" ht="12.75" customHeight="1">
      <c r="E790" s="264"/>
      <c r="F790" s="264"/>
      <c r="O790" s="149"/>
      <c r="P790" s="149"/>
      <c r="V790" s="167"/>
      <c r="W790" s="167"/>
      <c r="X790" s="167"/>
      <c r="Y790" s="167"/>
      <c r="Z790" s="167"/>
    </row>
    <row r="791" spans="5:26" ht="12.75" customHeight="1">
      <c r="E791" s="264"/>
      <c r="F791" s="264"/>
      <c r="O791" s="149"/>
      <c r="P791" s="149"/>
      <c r="V791" s="167"/>
      <c r="W791" s="167"/>
      <c r="X791" s="167"/>
      <c r="Y791" s="167"/>
      <c r="Z791" s="167"/>
    </row>
    <row r="792" spans="5:26" ht="12.75" customHeight="1">
      <c r="E792" s="264"/>
      <c r="F792" s="264"/>
      <c r="O792" s="149"/>
      <c r="P792" s="149"/>
      <c r="V792" s="167"/>
      <c r="W792" s="167"/>
      <c r="X792" s="167"/>
      <c r="Y792" s="167"/>
      <c r="Z792" s="167"/>
    </row>
    <row r="793" spans="5:26" ht="12.75" customHeight="1">
      <c r="E793" s="264"/>
      <c r="F793" s="264"/>
      <c r="O793" s="149"/>
      <c r="P793" s="149"/>
      <c r="V793" s="167"/>
      <c r="W793" s="167"/>
      <c r="X793" s="167"/>
      <c r="Y793" s="167"/>
      <c r="Z793" s="167"/>
    </row>
    <row r="794" spans="5:26" ht="12.75" customHeight="1">
      <c r="E794" s="264"/>
      <c r="F794" s="264"/>
      <c r="O794" s="149"/>
      <c r="P794" s="149"/>
      <c r="V794" s="167"/>
      <c r="W794" s="167"/>
      <c r="X794" s="167"/>
      <c r="Y794" s="167"/>
      <c r="Z794" s="167"/>
    </row>
    <row r="795" spans="5:26" ht="12.75" customHeight="1">
      <c r="E795" s="264"/>
      <c r="F795" s="264"/>
      <c r="O795" s="149"/>
      <c r="P795" s="149"/>
      <c r="V795" s="167"/>
      <c r="W795" s="167"/>
      <c r="X795" s="167"/>
      <c r="Y795" s="167"/>
      <c r="Z795" s="167"/>
    </row>
    <row r="796" spans="5:26" ht="12.75" customHeight="1">
      <c r="E796" s="264"/>
      <c r="F796" s="264"/>
      <c r="O796" s="149"/>
      <c r="P796" s="149"/>
      <c r="V796" s="167"/>
      <c r="W796" s="167"/>
      <c r="X796" s="167"/>
      <c r="Y796" s="167"/>
      <c r="Z796" s="167"/>
    </row>
    <row r="797" spans="5:26" ht="12.75" customHeight="1">
      <c r="E797" s="264"/>
      <c r="F797" s="264"/>
      <c r="O797" s="149"/>
      <c r="P797" s="149"/>
      <c r="V797" s="167"/>
      <c r="W797" s="167"/>
      <c r="X797" s="167"/>
      <c r="Y797" s="167"/>
      <c r="Z797" s="167"/>
    </row>
    <row r="798" spans="5:26" ht="12.75" customHeight="1">
      <c r="E798" s="264"/>
      <c r="F798" s="264"/>
      <c r="O798" s="149"/>
      <c r="P798" s="149"/>
      <c r="V798" s="167"/>
      <c r="W798" s="167"/>
      <c r="X798" s="167"/>
      <c r="Y798" s="167"/>
      <c r="Z798" s="167"/>
    </row>
    <row r="799" spans="5:26" ht="12.75" customHeight="1">
      <c r="E799" s="264"/>
      <c r="F799" s="264"/>
      <c r="O799" s="149"/>
      <c r="P799" s="149"/>
      <c r="V799" s="167"/>
      <c r="W799" s="167"/>
      <c r="X799" s="167"/>
      <c r="Y799" s="167"/>
      <c r="Z799" s="167"/>
    </row>
    <row r="800" spans="5:26" ht="12.75" customHeight="1">
      <c r="E800" s="264"/>
      <c r="F800" s="264"/>
      <c r="O800" s="149"/>
      <c r="P800" s="149"/>
      <c r="V800" s="167"/>
      <c r="W800" s="167"/>
      <c r="X800" s="167"/>
      <c r="Y800" s="167"/>
      <c r="Z800" s="167"/>
    </row>
    <row r="801" spans="5:26" ht="12.75" customHeight="1">
      <c r="E801" s="264"/>
      <c r="F801" s="264"/>
      <c r="O801" s="149"/>
      <c r="P801" s="149"/>
      <c r="V801" s="167"/>
      <c r="W801" s="167"/>
      <c r="X801" s="167"/>
      <c r="Y801" s="167"/>
      <c r="Z801" s="167"/>
    </row>
    <row r="802" spans="5:26" ht="12.75" customHeight="1">
      <c r="E802" s="264"/>
      <c r="F802" s="264"/>
      <c r="O802" s="149"/>
      <c r="P802" s="149"/>
      <c r="V802" s="167"/>
      <c r="W802" s="167"/>
      <c r="X802" s="167"/>
      <c r="Y802" s="167"/>
      <c r="Z802" s="167"/>
    </row>
    <row r="803" spans="5:26" ht="12.75" customHeight="1">
      <c r="E803" s="264"/>
      <c r="F803" s="264"/>
      <c r="O803" s="149"/>
      <c r="P803" s="149"/>
      <c r="V803" s="167"/>
      <c r="W803" s="167"/>
      <c r="X803" s="167"/>
      <c r="Y803" s="167"/>
      <c r="Z803" s="167"/>
    </row>
    <row r="804" spans="5:26" ht="12.75" customHeight="1">
      <c r="E804" s="264"/>
      <c r="F804" s="264"/>
      <c r="O804" s="149"/>
      <c r="P804" s="149"/>
      <c r="V804" s="167"/>
      <c r="W804" s="167"/>
      <c r="X804" s="167"/>
      <c r="Y804" s="167"/>
      <c r="Z804" s="167"/>
    </row>
    <row r="805" spans="5:26" ht="12.75" customHeight="1">
      <c r="E805" s="264"/>
      <c r="F805" s="264"/>
      <c r="O805" s="149"/>
      <c r="P805" s="149"/>
      <c r="V805" s="167"/>
      <c r="W805" s="167"/>
      <c r="X805" s="167"/>
      <c r="Y805" s="167"/>
      <c r="Z805" s="167"/>
    </row>
    <row r="806" spans="5:26" ht="12.75" customHeight="1">
      <c r="E806" s="264"/>
      <c r="F806" s="264"/>
      <c r="O806" s="149"/>
      <c r="P806" s="149"/>
      <c r="V806" s="167"/>
      <c r="W806" s="167"/>
      <c r="X806" s="167"/>
      <c r="Y806" s="167"/>
      <c r="Z806" s="167"/>
    </row>
    <row r="807" spans="5:26" ht="12.75" customHeight="1">
      <c r="E807" s="264"/>
      <c r="F807" s="264"/>
      <c r="O807" s="149"/>
      <c r="P807" s="149"/>
      <c r="V807" s="167"/>
      <c r="W807" s="167"/>
      <c r="X807" s="167"/>
      <c r="Y807" s="167"/>
      <c r="Z807" s="167"/>
    </row>
    <row r="808" spans="5:26" ht="12.75" customHeight="1">
      <c r="E808" s="264"/>
      <c r="F808" s="264"/>
      <c r="O808" s="149"/>
      <c r="P808" s="149"/>
      <c r="V808" s="167"/>
      <c r="W808" s="167"/>
      <c r="X808" s="167"/>
      <c r="Y808" s="167"/>
      <c r="Z808" s="167"/>
    </row>
    <row r="809" spans="5:26" ht="12.75" customHeight="1">
      <c r="E809" s="264"/>
      <c r="F809" s="264"/>
      <c r="O809" s="149"/>
      <c r="P809" s="149"/>
      <c r="V809" s="167"/>
      <c r="W809" s="167"/>
      <c r="X809" s="167"/>
      <c r="Y809" s="167"/>
      <c r="Z809" s="167"/>
    </row>
    <row r="810" spans="5:26" ht="12.75" customHeight="1">
      <c r="E810" s="264"/>
      <c r="F810" s="264"/>
      <c r="O810" s="149"/>
      <c r="P810" s="149"/>
      <c r="V810" s="167"/>
      <c r="W810" s="167"/>
      <c r="X810" s="167"/>
      <c r="Y810" s="167"/>
      <c r="Z810" s="167"/>
    </row>
    <row r="811" spans="5:26" ht="12.75" customHeight="1">
      <c r="E811" s="264"/>
      <c r="F811" s="264"/>
      <c r="O811" s="149"/>
      <c r="P811" s="149"/>
      <c r="V811" s="167"/>
      <c r="W811" s="167"/>
      <c r="X811" s="167"/>
      <c r="Y811" s="167"/>
      <c r="Z811" s="167"/>
    </row>
    <row r="812" spans="5:26" ht="12.75" customHeight="1">
      <c r="E812" s="264"/>
      <c r="F812" s="264"/>
      <c r="O812" s="149"/>
      <c r="P812" s="149"/>
      <c r="V812" s="167"/>
      <c r="W812" s="167"/>
      <c r="X812" s="167"/>
      <c r="Y812" s="167"/>
      <c r="Z812" s="167"/>
    </row>
    <row r="813" spans="5:26" ht="12.75" customHeight="1">
      <c r="E813" s="264"/>
      <c r="F813" s="264"/>
      <c r="O813" s="149"/>
      <c r="P813" s="149"/>
      <c r="V813" s="167"/>
      <c r="W813" s="167"/>
      <c r="X813" s="167"/>
      <c r="Y813" s="167"/>
      <c r="Z813" s="167"/>
    </row>
    <row r="814" spans="5:26" ht="12.75" customHeight="1">
      <c r="E814" s="264"/>
      <c r="F814" s="264"/>
      <c r="O814" s="149"/>
      <c r="P814" s="149"/>
      <c r="V814" s="167"/>
      <c r="W814" s="167"/>
      <c r="X814" s="167"/>
      <c r="Y814" s="167"/>
      <c r="Z814" s="167"/>
    </row>
    <row r="815" spans="5:26" ht="12.75" customHeight="1">
      <c r="E815" s="264"/>
      <c r="F815" s="264"/>
      <c r="O815" s="149"/>
      <c r="P815" s="149"/>
      <c r="V815" s="167"/>
      <c r="W815" s="167"/>
      <c r="X815" s="167"/>
      <c r="Y815" s="167"/>
      <c r="Z815" s="167"/>
    </row>
    <row r="816" spans="5:26" ht="12.75" customHeight="1">
      <c r="E816" s="264"/>
      <c r="F816" s="264"/>
      <c r="O816" s="149"/>
      <c r="P816" s="149"/>
      <c r="V816" s="167"/>
      <c r="W816" s="167"/>
      <c r="X816" s="167"/>
      <c r="Y816" s="167"/>
      <c r="Z816" s="167"/>
    </row>
    <row r="817" spans="5:26" ht="12.75" customHeight="1">
      <c r="E817" s="264"/>
      <c r="F817" s="264"/>
      <c r="O817" s="149"/>
      <c r="P817" s="149"/>
      <c r="V817" s="167"/>
      <c r="W817" s="167"/>
      <c r="X817" s="167"/>
      <c r="Y817" s="167"/>
      <c r="Z817" s="167"/>
    </row>
    <row r="818" spans="5:26" ht="12.75" customHeight="1">
      <c r="E818" s="264"/>
      <c r="F818" s="264"/>
      <c r="O818" s="149"/>
      <c r="P818" s="149"/>
      <c r="V818" s="167"/>
      <c r="W818" s="167"/>
      <c r="X818" s="167"/>
      <c r="Y818" s="167"/>
      <c r="Z818" s="167"/>
    </row>
    <row r="819" spans="5:26" ht="12.75" customHeight="1">
      <c r="E819" s="264"/>
      <c r="F819" s="264"/>
      <c r="O819" s="149"/>
      <c r="P819" s="149"/>
      <c r="V819" s="167"/>
      <c r="W819" s="167"/>
      <c r="X819" s="167"/>
      <c r="Y819" s="167"/>
      <c r="Z819" s="167"/>
    </row>
    <row r="820" spans="5:26" ht="12.75" customHeight="1">
      <c r="E820" s="264"/>
      <c r="F820" s="264"/>
      <c r="O820" s="149"/>
      <c r="P820" s="149"/>
      <c r="V820" s="167"/>
      <c r="W820" s="167"/>
      <c r="X820" s="167"/>
      <c r="Y820" s="167"/>
      <c r="Z820" s="167"/>
    </row>
    <row r="821" spans="5:26" ht="12.75" customHeight="1">
      <c r="E821" s="264"/>
      <c r="F821" s="264"/>
      <c r="O821" s="149"/>
      <c r="P821" s="149"/>
      <c r="V821" s="167"/>
      <c r="W821" s="167"/>
      <c r="X821" s="167"/>
      <c r="Y821" s="167"/>
      <c r="Z821" s="167"/>
    </row>
    <row r="822" spans="5:26" ht="12.75" customHeight="1">
      <c r="E822" s="264"/>
      <c r="F822" s="264"/>
      <c r="O822" s="149"/>
      <c r="P822" s="149"/>
      <c r="V822" s="167"/>
      <c r="W822" s="167"/>
      <c r="X822" s="167"/>
      <c r="Y822" s="167"/>
      <c r="Z822" s="167"/>
    </row>
    <row r="823" spans="5:26" ht="12.75" customHeight="1">
      <c r="E823" s="264"/>
      <c r="F823" s="264"/>
      <c r="O823" s="149"/>
      <c r="P823" s="149"/>
      <c r="V823" s="167"/>
      <c r="W823" s="167"/>
      <c r="X823" s="167"/>
      <c r="Y823" s="167"/>
      <c r="Z823" s="167"/>
    </row>
    <row r="824" spans="5:26" ht="12.75" customHeight="1">
      <c r="E824" s="264"/>
      <c r="F824" s="264"/>
      <c r="O824" s="149"/>
      <c r="P824" s="149"/>
      <c r="V824" s="167"/>
      <c r="W824" s="167"/>
      <c r="X824" s="167"/>
      <c r="Y824" s="167"/>
      <c r="Z824" s="167"/>
    </row>
    <row r="825" spans="5:26" ht="12.75" customHeight="1">
      <c r="E825" s="264"/>
      <c r="F825" s="264"/>
      <c r="O825" s="149"/>
      <c r="P825" s="149"/>
      <c r="V825" s="167"/>
      <c r="W825" s="167"/>
      <c r="X825" s="167"/>
      <c r="Y825" s="167"/>
      <c r="Z825" s="167"/>
    </row>
    <row r="826" spans="5:26" ht="12.75" customHeight="1">
      <c r="E826" s="264"/>
      <c r="F826" s="264"/>
      <c r="O826" s="149"/>
      <c r="P826" s="149"/>
      <c r="V826" s="167"/>
      <c r="W826" s="167"/>
      <c r="X826" s="167"/>
      <c r="Y826" s="167"/>
      <c r="Z826" s="167"/>
    </row>
    <row r="827" spans="5:26" ht="12.75" customHeight="1">
      <c r="E827" s="264"/>
      <c r="F827" s="264"/>
      <c r="O827" s="149"/>
      <c r="P827" s="149"/>
      <c r="V827" s="167"/>
      <c r="W827" s="167"/>
      <c r="X827" s="167"/>
      <c r="Y827" s="167"/>
      <c r="Z827" s="167"/>
    </row>
    <row r="828" spans="5:26" ht="12.75" customHeight="1">
      <c r="E828" s="264"/>
      <c r="F828" s="264"/>
      <c r="O828" s="149"/>
      <c r="P828" s="149"/>
      <c r="V828" s="167"/>
      <c r="W828" s="167"/>
      <c r="X828" s="167"/>
      <c r="Y828" s="167"/>
      <c r="Z828" s="167"/>
    </row>
    <row r="829" spans="5:26" ht="12.75" customHeight="1">
      <c r="E829" s="264"/>
      <c r="F829" s="264"/>
      <c r="O829" s="149"/>
      <c r="P829" s="149"/>
      <c r="V829" s="167"/>
      <c r="W829" s="167"/>
      <c r="X829" s="167"/>
      <c r="Y829" s="167"/>
      <c r="Z829" s="167"/>
    </row>
    <row r="830" spans="5:26" ht="12.75" customHeight="1">
      <c r="E830" s="264"/>
      <c r="F830" s="264"/>
      <c r="O830" s="149"/>
      <c r="P830" s="149"/>
      <c r="V830" s="167"/>
      <c r="W830" s="167"/>
      <c r="X830" s="167"/>
      <c r="Y830" s="167"/>
      <c r="Z830" s="167"/>
    </row>
    <row r="831" spans="5:26" ht="12.75" customHeight="1">
      <c r="E831" s="264"/>
      <c r="F831" s="264"/>
      <c r="O831" s="149"/>
      <c r="P831" s="149"/>
      <c r="V831" s="167"/>
      <c r="W831" s="167"/>
      <c r="X831" s="167"/>
      <c r="Y831" s="167"/>
      <c r="Z831" s="167"/>
    </row>
    <row r="832" spans="5:26" ht="12.75" customHeight="1">
      <c r="E832" s="264"/>
      <c r="F832" s="264"/>
      <c r="O832" s="149"/>
      <c r="P832" s="149"/>
      <c r="V832" s="167"/>
      <c r="W832" s="167"/>
      <c r="X832" s="167"/>
      <c r="Y832" s="167"/>
      <c r="Z832" s="167"/>
    </row>
    <row r="833" spans="5:26" ht="12.75" customHeight="1">
      <c r="E833" s="264"/>
      <c r="F833" s="264"/>
      <c r="O833" s="149"/>
      <c r="P833" s="149"/>
      <c r="V833" s="167"/>
      <c r="W833" s="167"/>
      <c r="X833" s="167"/>
      <c r="Y833" s="167"/>
      <c r="Z833" s="167"/>
    </row>
    <row r="834" spans="5:26" ht="12.75" customHeight="1">
      <c r="E834" s="264"/>
      <c r="F834" s="264"/>
      <c r="O834" s="149"/>
      <c r="P834" s="149"/>
      <c r="V834" s="167"/>
      <c r="W834" s="167"/>
      <c r="X834" s="167"/>
      <c r="Y834" s="167"/>
      <c r="Z834" s="167"/>
    </row>
    <row r="835" spans="5:26" ht="12.75" customHeight="1">
      <c r="E835" s="264"/>
      <c r="F835" s="264"/>
      <c r="O835" s="149"/>
      <c r="P835" s="149"/>
      <c r="V835" s="167"/>
      <c r="W835" s="167"/>
      <c r="X835" s="167"/>
      <c r="Y835" s="167"/>
      <c r="Z835" s="167"/>
    </row>
    <row r="836" spans="5:26" ht="12.75" customHeight="1">
      <c r="E836" s="264"/>
      <c r="F836" s="264"/>
      <c r="O836" s="149"/>
      <c r="P836" s="149"/>
      <c r="V836" s="167"/>
      <c r="W836" s="167"/>
      <c r="X836" s="167"/>
      <c r="Y836" s="167"/>
      <c r="Z836" s="167"/>
    </row>
    <row r="837" spans="5:26" ht="12.75" customHeight="1">
      <c r="E837" s="264"/>
      <c r="F837" s="264"/>
      <c r="O837" s="149"/>
      <c r="P837" s="149"/>
      <c r="V837" s="167"/>
      <c r="W837" s="167"/>
      <c r="X837" s="167"/>
      <c r="Y837" s="167"/>
      <c r="Z837" s="167"/>
    </row>
    <row r="838" spans="5:26" ht="12.75" customHeight="1">
      <c r="E838" s="264"/>
      <c r="F838" s="264"/>
      <c r="O838" s="149"/>
      <c r="P838" s="149"/>
      <c r="V838" s="167"/>
      <c r="W838" s="167"/>
      <c r="X838" s="167"/>
      <c r="Y838" s="167"/>
      <c r="Z838" s="167"/>
    </row>
    <row r="839" spans="5:26" ht="12.75" customHeight="1">
      <c r="E839" s="264"/>
      <c r="F839" s="264"/>
      <c r="O839" s="149"/>
      <c r="P839" s="149"/>
      <c r="V839" s="167"/>
      <c r="W839" s="167"/>
      <c r="X839" s="167"/>
      <c r="Y839" s="167"/>
      <c r="Z839" s="167"/>
    </row>
    <row r="840" spans="5:26" ht="12.75" customHeight="1">
      <c r="E840" s="264"/>
      <c r="F840" s="264"/>
      <c r="O840" s="149"/>
      <c r="P840" s="149"/>
      <c r="V840" s="167"/>
      <c r="W840" s="167"/>
      <c r="X840" s="167"/>
      <c r="Y840" s="167"/>
      <c r="Z840" s="167"/>
    </row>
    <row r="841" spans="5:26" ht="12.75" customHeight="1">
      <c r="E841" s="264"/>
      <c r="F841" s="264"/>
      <c r="O841" s="149"/>
      <c r="P841" s="149"/>
      <c r="V841" s="167"/>
      <c r="W841" s="167"/>
      <c r="X841" s="167"/>
      <c r="Y841" s="167"/>
      <c r="Z841" s="167"/>
    </row>
    <row r="842" spans="5:26" ht="12.75" customHeight="1">
      <c r="E842" s="264"/>
      <c r="F842" s="264"/>
      <c r="O842" s="149"/>
      <c r="P842" s="149"/>
      <c r="V842" s="167"/>
      <c r="W842" s="167"/>
      <c r="X842" s="167"/>
      <c r="Y842" s="167"/>
      <c r="Z842" s="167"/>
    </row>
    <row r="843" spans="5:26" ht="12.75" customHeight="1">
      <c r="E843" s="264"/>
      <c r="F843" s="264"/>
      <c r="O843" s="149"/>
      <c r="P843" s="149"/>
      <c r="V843" s="167"/>
      <c r="W843" s="167"/>
      <c r="X843" s="167"/>
      <c r="Y843" s="167"/>
      <c r="Z843" s="167"/>
    </row>
    <row r="844" spans="5:26" ht="12.75" customHeight="1">
      <c r="E844" s="264"/>
      <c r="F844" s="264"/>
      <c r="O844" s="149"/>
      <c r="P844" s="149"/>
      <c r="V844" s="167"/>
      <c r="W844" s="167"/>
      <c r="X844" s="167"/>
      <c r="Y844" s="167"/>
      <c r="Z844" s="167"/>
    </row>
    <row r="845" spans="5:26" ht="12.75" customHeight="1">
      <c r="E845" s="264"/>
      <c r="F845" s="264"/>
      <c r="O845" s="149"/>
      <c r="P845" s="149"/>
      <c r="V845" s="167"/>
      <c r="W845" s="167"/>
      <c r="X845" s="167"/>
      <c r="Y845" s="167"/>
      <c r="Z845" s="167"/>
    </row>
    <row r="846" spans="5:26" ht="12.75" customHeight="1">
      <c r="E846" s="264"/>
      <c r="F846" s="264"/>
      <c r="O846" s="149"/>
      <c r="P846" s="149"/>
      <c r="V846" s="167"/>
      <c r="W846" s="167"/>
      <c r="X846" s="167"/>
      <c r="Y846" s="167"/>
      <c r="Z846" s="167"/>
    </row>
    <row r="847" spans="5:26" ht="12.75" customHeight="1">
      <c r="E847" s="264"/>
      <c r="F847" s="264"/>
      <c r="O847" s="149"/>
      <c r="P847" s="149"/>
      <c r="V847" s="167"/>
      <c r="W847" s="167"/>
      <c r="X847" s="167"/>
      <c r="Y847" s="167"/>
      <c r="Z847" s="167"/>
    </row>
    <row r="848" spans="5:26" ht="12.75" customHeight="1">
      <c r="E848" s="264"/>
      <c r="F848" s="264"/>
      <c r="O848" s="149"/>
      <c r="P848" s="149"/>
      <c r="V848" s="167"/>
      <c r="W848" s="167"/>
      <c r="X848" s="167"/>
      <c r="Y848" s="167"/>
      <c r="Z848" s="167"/>
    </row>
    <row r="849" spans="5:26" ht="12.75" customHeight="1">
      <c r="E849" s="264"/>
      <c r="F849" s="264"/>
      <c r="O849" s="149"/>
      <c r="P849" s="149"/>
      <c r="V849" s="167"/>
      <c r="W849" s="167"/>
      <c r="X849" s="167"/>
      <c r="Y849" s="167"/>
      <c r="Z849" s="167"/>
    </row>
    <row r="850" spans="5:26" ht="12.75" customHeight="1">
      <c r="E850" s="264"/>
      <c r="F850" s="264"/>
      <c r="O850" s="149"/>
      <c r="P850" s="149"/>
      <c r="V850" s="167"/>
      <c r="W850" s="167"/>
      <c r="X850" s="167"/>
      <c r="Y850" s="167"/>
      <c r="Z850" s="167"/>
    </row>
    <row r="851" spans="5:26" ht="12.75" customHeight="1">
      <c r="E851" s="264"/>
      <c r="F851" s="264"/>
      <c r="O851" s="149"/>
      <c r="P851" s="149"/>
      <c r="V851" s="167"/>
      <c r="W851" s="167"/>
      <c r="X851" s="167"/>
      <c r="Y851" s="167"/>
      <c r="Z851" s="167"/>
    </row>
    <row r="852" spans="5:26" ht="12.75" customHeight="1">
      <c r="E852" s="264"/>
      <c r="F852" s="264"/>
      <c r="O852" s="149"/>
      <c r="P852" s="149"/>
      <c r="V852" s="167"/>
      <c r="W852" s="167"/>
      <c r="X852" s="167"/>
      <c r="Y852" s="167"/>
      <c r="Z852" s="167"/>
    </row>
    <row r="853" spans="5:26" ht="12.75" customHeight="1">
      <c r="E853" s="264"/>
      <c r="F853" s="264"/>
      <c r="O853" s="149"/>
      <c r="P853" s="149"/>
      <c r="V853" s="167"/>
      <c r="W853" s="167"/>
      <c r="X853" s="167"/>
      <c r="Y853" s="167"/>
      <c r="Z853" s="167"/>
    </row>
    <row r="854" spans="5:26" ht="12.75" customHeight="1">
      <c r="E854" s="264"/>
      <c r="F854" s="264"/>
      <c r="O854" s="149"/>
      <c r="P854" s="149"/>
      <c r="V854" s="167"/>
      <c r="W854" s="167"/>
      <c r="X854" s="167"/>
      <c r="Y854" s="167"/>
      <c r="Z854" s="167"/>
    </row>
    <row r="855" spans="5:26" ht="12.75" customHeight="1">
      <c r="E855" s="264"/>
      <c r="F855" s="264"/>
      <c r="O855" s="149"/>
      <c r="P855" s="149"/>
      <c r="V855" s="167"/>
      <c r="W855" s="167"/>
      <c r="X855" s="167"/>
      <c r="Y855" s="167"/>
      <c r="Z855" s="167"/>
    </row>
    <row r="856" spans="5:26" ht="12.75" customHeight="1">
      <c r="E856" s="264"/>
      <c r="F856" s="264"/>
      <c r="O856" s="149"/>
      <c r="P856" s="149"/>
      <c r="V856" s="167"/>
      <c r="W856" s="167"/>
      <c r="X856" s="167"/>
      <c r="Y856" s="167"/>
      <c r="Z856" s="167"/>
    </row>
    <row r="857" spans="5:26" ht="12.75" customHeight="1">
      <c r="E857" s="264"/>
      <c r="F857" s="264"/>
      <c r="O857" s="149"/>
      <c r="P857" s="149"/>
      <c r="V857" s="167"/>
      <c r="W857" s="167"/>
      <c r="X857" s="167"/>
      <c r="Y857" s="167"/>
      <c r="Z857" s="167"/>
    </row>
    <row r="858" spans="5:26" ht="12.75" customHeight="1">
      <c r="E858" s="264"/>
      <c r="F858" s="264"/>
      <c r="O858" s="149"/>
      <c r="P858" s="149"/>
      <c r="V858" s="167"/>
      <c r="W858" s="167"/>
      <c r="X858" s="167"/>
      <c r="Y858" s="167"/>
      <c r="Z858" s="167"/>
    </row>
    <row r="859" spans="5:26" ht="12.75" customHeight="1">
      <c r="E859" s="264"/>
      <c r="F859" s="264"/>
      <c r="O859" s="149"/>
      <c r="P859" s="149"/>
      <c r="V859" s="167"/>
      <c r="W859" s="167"/>
      <c r="X859" s="167"/>
      <c r="Y859" s="167"/>
      <c r="Z859" s="167"/>
    </row>
    <row r="860" spans="5:26" ht="12.75" customHeight="1">
      <c r="E860" s="264"/>
      <c r="F860" s="264"/>
      <c r="O860" s="149"/>
      <c r="P860" s="149"/>
      <c r="V860" s="167"/>
      <c r="W860" s="167"/>
      <c r="X860" s="167"/>
      <c r="Y860" s="167"/>
      <c r="Z860" s="167"/>
    </row>
    <row r="861" spans="5:26" ht="12.75" customHeight="1">
      <c r="E861" s="264"/>
      <c r="F861" s="264"/>
      <c r="O861" s="149"/>
      <c r="P861" s="149"/>
      <c r="V861" s="167"/>
      <c r="W861" s="167"/>
      <c r="X861" s="167"/>
      <c r="Y861" s="167"/>
      <c r="Z861" s="167"/>
    </row>
    <row r="862" spans="5:26" ht="12.75" customHeight="1">
      <c r="E862" s="264"/>
      <c r="F862" s="264"/>
      <c r="O862" s="149"/>
      <c r="P862" s="149"/>
      <c r="V862" s="167"/>
      <c r="W862" s="167"/>
      <c r="X862" s="167"/>
      <c r="Y862" s="167"/>
      <c r="Z862" s="167"/>
    </row>
    <row r="863" spans="5:26" ht="12.75" customHeight="1">
      <c r="E863" s="264"/>
      <c r="F863" s="264"/>
      <c r="O863" s="149"/>
      <c r="P863" s="149"/>
      <c r="V863" s="167"/>
      <c r="W863" s="167"/>
      <c r="X863" s="167"/>
      <c r="Y863" s="167"/>
      <c r="Z863" s="167"/>
    </row>
    <row r="864" spans="5:26" ht="12.75" customHeight="1">
      <c r="E864" s="264"/>
      <c r="F864" s="264"/>
      <c r="O864" s="149"/>
      <c r="P864" s="149"/>
      <c r="V864" s="167"/>
      <c r="W864" s="167"/>
      <c r="X864" s="167"/>
      <c r="Y864" s="167"/>
      <c r="Z864" s="167"/>
    </row>
    <row r="865" spans="5:26" ht="12.75" customHeight="1">
      <c r="E865" s="264"/>
      <c r="F865" s="264"/>
      <c r="O865" s="149"/>
      <c r="P865" s="149"/>
      <c r="V865" s="167"/>
      <c r="W865" s="167"/>
      <c r="X865" s="167"/>
      <c r="Y865" s="167"/>
      <c r="Z865" s="167"/>
    </row>
    <row r="866" spans="5:26" ht="12.75" customHeight="1">
      <c r="E866" s="264"/>
      <c r="F866" s="264"/>
      <c r="O866" s="149"/>
      <c r="P866" s="149"/>
      <c r="V866" s="167"/>
      <c r="W866" s="167"/>
      <c r="X866" s="167"/>
      <c r="Y866" s="167"/>
      <c r="Z866" s="167"/>
    </row>
    <row r="867" spans="5:26" ht="12.75" customHeight="1">
      <c r="E867" s="264"/>
      <c r="F867" s="264"/>
      <c r="O867" s="149"/>
      <c r="P867" s="149"/>
      <c r="V867" s="167"/>
      <c r="W867" s="167"/>
      <c r="X867" s="167"/>
      <c r="Y867" s="167"/>
      <c r="Z867" s="167"/>
    </row>
    <row r="868" spans="5:26" ht="12.75" customHeight="1">
      <c r="E868" s="264"/>
      <c r="F868" s="264"/>
      <c r="O868" s="149"/>
      <c r="P868" s="149"/>
      <c r="V868" s="167"/>
      <c r="W868" s="167"/>
      <c r="X868" s="167"/>
      <c r="Y868" s="167"/>
      <c r="Z868" s="167"/>
    </row>
    <row r="869" spans="5:26" ht="12.75" customHeight="1">
      <c r="E869" s="264"/>
      <c r="F869" s="264"/>
      <c r="O869" s="149"/>
      <c r="P869" s="149"/>
      <c r="V869" s="167"/>
      <c r="W869" s="167"/>
      <c r="X869" s="167"/>
      <c r="Y869" s="167"/>
      <c r="Z869" s="167"/>
    </row>
    <row r="870" spans="5:26" ht="12.75" customHeight="1">
      <c r="E870" s="264"/>
      <c r="F870" s="264"/>
      <c r="O870" s="149"/>
      <c r="P870" s="149"/>
      <c r="V870" s="167"/>
      <c r="W870" s="167"/>
      <c r="X870" s="167"/>
      <c r="Y870" s="167"/>
      <c r="Z870" s="167"/>
    </row>
    <row r="871" spans="5:26" ht="12.75" customHeight="1">
      <c r="E871" s="264"/>
      <c r="F871" s="264"/>
      <c r="O871" s="149"/>
      <c r="P871" s="149"/>
      <c r="V871" s="167"/>
      <c r="W871" s="167"/>
      <c r="X871" s="167"/>
      <c r="Y871" s="167"/>
      <c r="Z871" s="167"/>
    </row>
    <row r="872" spans="5:26" ht="12.75" customHeight="1">
      <c r="E872" s="264"/>
      <c r="F872" s="264"/>
      <c r="O872" s="149"/>
      <c r="P872" s="149"/>
      <c r="V872" s="167"/>
      <c r="W872" s="167"/>
      <c r="X872" s="167"/>
      <c r="Y872" s="167"/>
      <c r="Z872" s="167"/>
    </row>
    <row r="873" spans="5:26" ht="12.75" customHeight="1">
      <c r="E873" s="264"/>
      <c r="F873" s="264"/>
      <c r="O873" s="149"/>
      <c r="P873" s="149"/>
      <c r="V873" s="167"/>
      <c r="W873" s="167"/>
      <c r="X873" s="167"/>
      <c r="Y873" s="167"/>
      <c r="Z873" s="167"/>
    </row>
    <row r="874" spans="5:26" ht="12.75" customHeight="1">
      <c r="E874" s="264"/>
      <c r="F874" s="264"/>
      <c r="O874" s="149"/>
      <c r="P874" s="149"/>
      <c r="V874" s="167"/>
      <c r="W874" s="167"/>
      <c r="X874" s="167"/>
      <c r="Y874" s="167"/>
      <c r="Z874" s="167"/>
    </row>
    <row r="875" spans="5:26" ht="12.75" customHeight="1">
      <c r="E875" s="264"/>
      <c r="F875" s="264"/>
      <c r="O875" s="149"/>
      <c r="P875" s="149"/>
      <c r="V875" s="167"/>
      <c r="W875" s="167"/>
      <c r="X875" s="167"/>
      <c r="Y875" s="167"/>
      <c r="Z875" s="167"/>
    </row>
    <row r="876" spans="5:26" ht="12.75" customHeight="1">
      <c r="E876" s="264"/>
      <c r="F876" s="264"/>
      <c r="O876" s="149"/>
      <c r="P876" s="149"/>
      <c r="V876" s="167"/>
      <c r="W876" s="167"/>
      <c r="X876" s="167"/>
      <c r="Y876" s="167"/>
      <c r="Z876" s="167"/>
    </row>
    <row r="877" spans="5:26" ht="12.75" customHeight="1">
      <c r="E877" s="264"/>
      <c r="F877" s="264"/>
      <c r="O877" s="149"/>
      <c r="P877" s="149"/>
      <c r="V877" s="167"/>
      <c r="W877" s="167"/>
      <c r="X877" s="167"/>
      <c r="Y877" s="167"/>
      <c r="Z877" s="167"/>
    </row>
    <row r="878" spans="5:26" ht="12.75" customHeight="1">
      <c r="E878" s="264"/>
      <c r="F878" s="264"/>
      <c r="O878" s="149"/>
      <c r="P878" s="149"/>
      <c r="V878" s="167"/>
      <c r="W878" s="167"/>
      <c r="X878" s="167"/>
      <c r="Y878" s="167"/>
      <c r="Z878" s="167"/>
    </row>
    <row r="879" spans="5:26" ht="12.75" customHeight="1">
      <c r="E879" s="264"/>
      <c r="F879" s="264"/>
      <c r="O879" s="149"/>
      <c r="P879" s="149"/>
      <c r="V879" s="167"/>
      <c r="W879" s="167"/>
      <c r="X879" s="167"/>
      <c r="Y879" s="167"/>
      <c r="Z879" s="167"/>
    </row>
    <row r="880" spans="5:26" ht="12.75" customHeight="1">
      <c r="E880" s="264"/>
      <c r="F880" s="264"/>
      <c r="O880" s="149"/>
      <c r="P880" s="149"/>
      <c r="V880" s="167"/>
      <c r="W880" s="167"/>
      <c r="X880" s="167"/>
      <c r="Y880" s="167"/>
      <c r="Z880" s="167"/>
    </row>
    <row r="881" spans="5:26" ht="12.75" customHeight="1">
      <c r="E881" s="264"/>
      <c r="F881" s="264"/>
      <c r="O881" s="149"/>
      <c r="P881" s="149"/>
      <c r="V881" s="167"/>
      <c r="W881" s="167"/>
      <c r="X881" s="167"/>
      <c r="Y881" s="167"/>
      <c r="Z881" s="167"/>
    </row>
    <row r="882" spans="5:26" ht="12.75" customHeight="1">
      <c r="E882" s="264"/>
      <c r="F882" s="264"/>
      <c r="O882" s="149"/>
      <c r="P882" s="149"/>
      <c r="V882" s="167"/>
      <c r="W882" s="167"/>
      <c r="X882" s="167"/>
      <c r="Y882" s="167"/>
      <c r="Z882" s="167"/>
    </row>
    <row r="883" spans="5:26" ht="12.75" customHeight="1">
      <c r="E883" s="264"/>
      <c r="F883" s="264"/>
      <c r="O883" s="149"/>
      <c r="P883" s="149"/>
      <c r="V883" s="167"/>
      <c r="W883" s="167"/>
      <c r="X883" s="167"/>
      <c r="Y883" s="167"/>
      <c r="Z883" s="167"/>
    </row>
    <row r="884" spans="5:26" ht="12.75" customHeight="1">
      <c r="E884" s="264"/>
      <c r="F884" s="264"/>
      <c r="O884" s="149"/>
      <c r="P884" s="149"/>
      <c r="V884" s="167"/>
      <c r="W884" s="167"/>
      <c r="X884" s="167"/>
      <c r="Y884" s="167"/>
      <c r="Z884" s="167"/>
    </row>
    <row r="885" spans="5:26" ht="12.75" customHeight="1">
      <c r="E885" s="264"/>
      <c r="F885" s="264"/>
      <c r="O885" s="149"/>
      <c r="P885" s="149"/>
      <c r="V885" s="167"/>
      <c r="W885" s="167"/>
      <c r="X885" s="167"/>
      <c r="Y885" s="167"/>
      <c r="Z885" s="167"/>
    </row>
    <row r="886" spans="5:26" ht="12.75" customHeight="1">
      <c r="E886" s="264"/>
      <c r="F886" s="264"/>
      <c r="O886" s="149"/>
      <c r="P886" s="149"/>
      <c r="V886" s="167"/>
      <c r="W886" s="167"/>
      <c r="X886" s="167"/>
      <c r="Y886" s="167"/>
      <c r="Z886" s="167"/>
    </row>
    <row r="887" spans="5:26" ht="12.75" customHeight="1">
      <c r="E887" s="264"/>
      <c r="F887" s="264"/>
      <c r="O887" s="149"/>
      <c r="P887" s="149"/>
      <c r="V887" s="167"/>
      <c r="W887" s="167"/>
      <c r="X887" s="167"/>
      <c r="Y887" s="167"/>
      <c r="Z887" s="167"/>
    </row>
    <row r="888" spans="5:26" ht="12.75" customHeight="1">
      <c r="E888" s="264"/>
      <c r="F888" s="264"/>
      <c r="O888" s="149"/>
      <c r="P888" s="149"/>
      <c r="V888" s="167"/>
      <c r="W888" s="167"/>
      <c r="X888" s="167"/>
      <c r="Y888" s="167"/>
      <c r="Z888" s="167"/>
    </row>
    <row r="889" spans="5:26" ht="12.75" customHeight="1">
      <c r="E889" s="264"/>
      <c r="F889" s="264"/>
      <c r="O889" s="149"/>
      <c r="P889" s="149"/>
      <c r="V889" s="167"/>
      <c r="W889" s="167"/>
      <c r="X889" s="167"/>
      <c r="Y889" s="167"/>
      <c r="Z889" s="167"/>
    </row>
    <row r="890" spans="5:26" ht="12.75" customHeight="1">
      <c r="E890" s="264"/>
      <c r="F890" s="264"/>
      <c r="O890" s="149"/>
      <c r="P890" s="149"/>
      <c r="V890" s="167"/>
      <c r="W890" s="167"/>
      <c r="X890" s="167"/>
      <c r="Y890" s="167"/>
      <c r="Z890" s="167"/>
    </row>
    <row r="891" spans="5:26" ht="12.75" customHeight="1">
      <c r="E891" s="264"/>
      <c r="F891" s="264"/>
      <c r="O891" s="149"/>
      <c r="P891" s="149"/>
      <c r="V891" s="167"/>
      <c r="W891" s="167"/>
      <c r="X891" s="167"/>
      <c r="Y891" s="167"/>
      <c r="Z891" s="167"/>
    </row>
    <row r="892" spans="5:26" ht="12.75" customHeight="1">
      <c r="E892" s="264"/>
      <c r="F892" s="264"/>
      <c r="O892" s="149"/>
      <c r="P892" s="149"/>
      <c r="V892" s="167"/>
      <c r="W892" s="167"/>
      <c r="X892" s="167"/>
      <c r="Y892" s="167"/>
      <c r="Z892" s="167"/>
    </row>
    <row r="893" spans="5:26" ht="12.75" customHeight="1">
      <c r="E893" s="264"/>
      <c r="F893" s="264"/>
      <c r="O893" s="149"/>
      <c r="P893" s="149"/>
      <c r="V893" s="167"/>
      <c r="W893" s="167"/>
      <c r="X893" s="167"/>
      <c r="Y893" s="167"/>
      <c r="Z893" s="167"/>
    </row>
    <row r="894" spans="5:26" ht="12.75" customHeight="1">
      <c r="E894" s="264"/>
      <c r="F894" s="264"/>
      <c r="O894" s="149"/>
      <c r="P894" s="149"/>
      <c r="V894" s="167"/>
      <c r="W894" s="167"/>
      <c r="X894" s="167"/>
      <c r="Y894" s="167"/>
      <c r="Z894" s="167"/>
    </row>
    <row r="895" spans="5:26" ht="12.75" customHeight="1">
      <c r="E895" s="264"/>
      <c r="F895" s="264"/>
      <c r="O895" s="149"/>
      <c r="P895" s="149"/>
      <c r="V895" s="167"/>
      <c r="W895" s="167"/>
      <c r="X895" s="167"/>
      <c r="Y895" s="167"/>
      <c r="Z895" s="167"/>
    </row>
    <row r="896" spans="5:26" ht="12.75" customHeight="1">
      <c r="E896" s="264"/>
      <c r="F896" s="264"/>
      <c r="O896" s="149"/>
      <c r="P896" s="149"/>
      <c r="V896" s="167"/>
      <c r="W896" s="167"/>
      <c r="X896" s="167"/>
      <c r="Y896" s="167"/>
      <c r="Z896" s="167"/>
    </row>
    <row r="897" spans="5:26" ht="12.75" customHeight="1">
      <c r="E897" s="264"/>
      <c r="F897" s="264"/>
      <c r="O897" s="149"/>
      <c r="P897" s="149"/>
      <c r="V897" s="167"/>
      <c r="W897" s="167"/>
      <c r="X897" s="167"/>
      <c r="Y897" s="167"/>
      <c r="Z897" s="167"/>
    </row>
    <row r="898" spans="5:26" ht="12.75" customHeight="1">
      <c r="E898" s="264"/>
      <c r="F898" s="264"/>
      <c r="O898" s="149"/>
      <c r="P898" s="149"/>
      <c r="V898" s="167"/>
      <c r="W898" s="167"/>
      <c r="X898" s="167"/>
      <c r="Y898" s="167"/>
      <c r="Z898" s="167"/>
    </row>
    <row r="899" spans="5:26" ht="12.75" customHeight="1">
      <c r="E899" s="264"/>
      <c r="F899" s="264"/>
      <c r="O899" s="149"/>
      <c r="P899" s="149"/>
      <c r="V899" s="167"/>
      <c r="W899" s="167"/>
      <c r="X899" s="167"/>
      <c r="Y899" s="167"/>
      <c r="Z899" s="167"/>
    </row>
    <row r="900" spans="5:26" ht="12.75" customHeight="1">
      <c r="E900" s="264"/>
      <c r="F900" s="264"/>
      <c r="O900" s="149"/>
      <c r="P900" s="149"/>
      <c r="V900" s="167"/>
      <c r="W900" s="167"/>
      <c r="X900" s="167"/>
      <c r="Y900" s="167"/>
      <c r="Z900" s="167"/>
    </row>
    <row r="901" spans="5:26" ht="12.75" customHeight="1">
      <c r="E901" s="264"/>
      <c r="F901" s="264"/>
      <c r="O901" s="149"/>
      <c r="P901" s="149"/>
      <c r="V901" s="167"/>
      <c r="W901" s="167"/>
      <c r="X901" s="167"/>
      <c r="Y901" s="167"/>
      <c r="Z901" s="167"/>
    </row>
    <row r="902" spans="5:26" ht="12.75" customHeight="1">
      <c r="E902" s="264"/>
      <c r="F902" s="264"/>
      <c r="O902" s="149"/>
      <c r="P902" s="149"/>
      <c r="V902" s="167"/>
      <c r="W902" s="167"/>
      <c r="X902" s="167"/>
      <c r="Y902" s="167"/>
      <c r="Z902" s="167"/>
    </row>
    <row r="903" spans="5:26" ht="12.75" customHeight="1">
      <c r="E903" s="264"/>
      <c r="F903" s="264"/>
      <c r="O903" s="149"/>
      <c r="P903" s="149"/>
      <c r="V903" s="167"/>
      <c r="W903" s="167"/>
      <c r="X903" s="167"/>
      <c r="Y903" s="167"/>
      <c r="Z903" s="167"/>
    </row>
    <row r="904" spans="5:26" ht="12.75" customHeight="1">
      <c r="E904" s="264"/>
      <c r="F904" s="264"/>
      <c r="O904" s="149"/>
      <c r="P904" s="149"/>
      <c r="V904" s="167"/>
      <c r="W904" s="167"/>
      <c r="X904" s="167"/>
      <c r="Y904" s="167"/>
      <c r="Z904" s="167"/>
    </row>
    <row r="905" spans="5:26" ht="12.75" customHeight="1">
      <c r="E905" s="264"/>
      <c r="F905" s="264"/>
      <c r="O905" s="149"/>
      <c r="P905" s="149"/>
      <c r="V905" s="167"/>
      <c r="W905" s="167"/>
      <c r="X905" s="167"/>
      <c r="Y905" s="167"/>
      <c r="Z905" s="167"/>
    </row>
    <row r="906" spans="5:26" ht="12.75" customHeight="1">
      <c r="E906" s="264"/>
      <c r="F906" s="264"/>
      <c r="O906" s="149"/>
      <c r="P906" s="149"/>
      <c r="V906" s="167"/>
      <c r="W906" s="167"/>
      <c r="X906" s="167"/>
      <c r="Y906" s="167"/>
      <c r="Z906" s="167"/>
    </row>
    <row r="907" spans="5:26" ht="12.75" customHeight="1">
      <c r="E907" s="264"/>
      <c r="F907" s="264"/>
      <c r="O907" s="149"/>
      <c r="P907" s="149"/>
      <c r="V907" s="167"/>
      <c r="W907" s="167"/>
      <c r="X907" s="167"/>
      <c r="Y907" s="167"/>
      <c r="Z907" s="167"/>
    </row>
    <row r="908" spans="5:26" ht="12.75" customHeight="1">
      <c r="E908" s="264"/>
      <c r="F908" s="264"/>
      <c r="O908" s="149"/>
      <c r="P908" s="149"/>
      <c r="V908" s="167"/>
      <c r="W908" s="167"/>
      <c r="X908" s="167"/>
      <c r="Y908" s="167"/>
      <c r="Z908" s="167"/>
    </row>
    <row r="909" spans="5:26" ht="12.75" customHeight="1">
      <c r="E909" s="264"/>
      <c r="F909" s="264"/>
      <c r="O909" s="149"/>
      <c r="P909" s="149"/>
      <c r="V909" s="167"/>
      <c r="W909" s="167"/>
      <c r="X909" s="167"/>
      <c r="Y909" s="167"/>
      <c r="Z909" s="167"/>
    </row>
    <row r="910" spans="5:26" ht="12.75" customHeight="1">
      <c r="E910" s="264"/>
      <c r="F910" s="264"/>
      <c r="O910" s="149"/>
      <c r="P910" s="149"/>
      <c r="V910" s="167"/>
      <c r="W910" s="167"/>
      <c r="X910" s="167"/>
      <c r="Y910" s="167"/>
      <c r="Z910" s="167"/>
    </row>
    <row r="911" spans="5:26" ht="12.75" customHeight="1">
      <c r="E911" s="264"/>
      <c r="F911" s="264"/>
      <c r="O911" s="149"/>
      <c r="P911" s="149"/>
      <c r="V911" s="167"/>
      <c r="W911" s="167"/>
      <c r="X911" s="167"/>
      <c r="Y911" s="167"/>
      <c r="Z911" s="167"/>
    </row>
    <row r="912" spans="5:26" ht="12.75" customHeight="1">
      <c r="E912" s="264"/>
      <c r="F912" s="264"/>
      <c r="O912" s="149"/>
      <c r="P912" s="149"/>
      <c r="V912" s="167"/>
      <c r="W912" s="167"/>
      <c r="X912" s="167"/>
      <c r="Y912" s="167"/>
      <c r="Z912" s="167"/>
    </row>
    <row r="913" spans="5:26" ht="12.75" customHeight="1">
      <c r="E913" s="264"/>
      <c r="F913" s="264"/>
      <c r="O913" s="149"/>
      <c r="P913" s="149"/>
      <c r="V913" s="167"/>
      <c r="W913" s="167"/>
      <c r="X913" s="167"/>
      <c r="Y913" s="167"/>
      <c r="Z913" s="167"/>
    </row>
    <row r="914" spans="5:26" ht="12.75" customHeight="1">
      <c r="E914" s="264"/>
      <c r="F914" s="264"/>
      <c r="O914" s="149"/>
      <c r="P914" s="149"/>
      <c r="V914" s="167"/>
      <c r="W914" s="167"/>
      <c r="X914" s="167"/>
      <c r="Y914" s="167"/>
      <c r="Z914" s="167"/>
    </row>
    <row r="915" spans="5:26" ht="12.75" customHeight="1">
      <c r="E915" s="264"/>
      <c r="F915" s="264"/>
      <c r="O915" s="149"/>
      <c r="P915" s="149"/>
      <c r="V915" s="167"/>
      <c r="W915" s="167"/>
      <c r="X915" s="167"/>
      <c r="Y915" s="167"/>
      <c r="Z915" s="167"/>
    </row>
    <row r="916" spans="5:26" ht="12.75" customHeight="1">
      <c r="E916" s="264"/>
      <c r="F916" s="264"/>
      <c r="O916" s="149"/>
      <c r="P916" s="149"/>
      <c r="V916" s="167"/>
      <c r="W916" s="167"/>
      <c r="X916" s="167"/>
      <c r="Y916" s="167"/>
      <c r="Z916" s="167"/>
    </row>
    <row r="917" spans="5:26" ht="12.75" customHeight="1">
      <c r="E917" s="264"/>
      <c r="F917" s="264"/>
      <c r="O917" s="149"/>
      <c r="P917" s="149"/>
      <c r="V917" s="167"/>
      <c r="W917" s="167"/>
      <c r="X917" s="167"/>
      <c r="Y917" s="167"/>
      <c r="Z917" s="167"/>
    </row>
    <row r="918" spans="5:26" ht="12.75" customHeight="1">
      <c r="E918" s="264"/>
      <c r="F918" s="264"/>
      <c r="O918" s="149"/>
      <c r="P918" s="149"/>
      <c r="V918" s="167"/>
      <c r="W918" s="167"/>
      <c r="X918" s="167"/>
      <c r="Y918" s="167"/>
      <c r="Z918" s="167"/>
    </row>
    <row r="919" spans="5:26" ht="12.75" customHeight="1">
      <c r="E919" s="264"/>
      <c r="F919" s="264"/>
      <c r="O919" s="149"/>
      <c r="P919" s="149"/>
      <c r="V919" s="167"/>
      <c r="W919" s="167"/>
      <c r="X919" s="167"/>
      <c r="Y919" s="167"/>
      <c r="Z919" s="167"/>
    </row>
    <row r="920" spans="5:26" ht="12.75" customHeight="1">
      <c r="E920" s="264"/>
      <c r="F920" s="264"/>
      <c r="O920" s="149"/>
      <c r="P920" s="149"/>
      <c r="V920" s="167"/>
      <c r="W920" s="167"/>
      <c r="X920" s="167"/>
      <c r="Y920" s="167"/>
      <c r="Z920" s="167"/>
    </row>
    <row r="921" spans="5:26" ht="12.75" customHeight="1">
      <c r="E921" s="264"/>
      <c r="F921" s="264"/>
      <c r="O921" s="149"/>
      <c r="P921" s="149"/>
      <c r="V921" s="167"/>
      <c r="W921" s="167"/>
      <c r="X921" s="167"/>
      <c r="Y921" s="167"/>
      <c r="Z921" s="167"/>
    </row>
    <row r="922" spans="5:26" ht="12.75" customHeight="1">
      <c r="E922" s="264"/>
      <c r="F922" s="264"/>
      <c r="O922" s="149"/>
      <c r="P922" s="149"/>
      <c r="V922" s="167"/>
      <c r="W922" s="167"/>
      <c r="X922" s="167"/>
      <c r="Y922" s="167"/>
      <c r="Z922" s="167"/>
    </row>
    <row r="923" spans="5:26" ht="12.75" customHeight="1">
      <c r="E923" s="264"/>
      <c r="F923" s="264"/>
      <c r="O923" s="149"/>
      <c r="P923" s="149"/>
      <c r="V923" s="167"/>
      <c r="W923" s="167"/>
      <c r="X923" s="167"/>
      <c r="Y923" s="167"/>
      <c r="Z923" s="167"/>
    </row>
    <row r="924" spans="5:26" ht="12.75" customHeight="1">
      <c r="E924" s="264"/>
      <c r="F924" s="264"/>
      <c r="O924" s="149"/>
      <c r="P924" s="149"/>
      <c r="V924" s="167"/>
      <c r="W924" s="167"/>
      <c r="X924" s="167"/>
      <c r="Y924" s="167"/>
      <c r="Z924" s="167"/>
    </row>
    <row r="925" spans="5:26" ht="12.75" customHeight="1">
      <c r="E925" s="264"/>
      <c r="F925" s="264"/>
      <c r="O925" s="149"/>
      <c r="P925" s="149"/>
      <c r="V925" s="167"/>
      <c r="W925" s="167"/>
      <c r="X925" s="167"/>
      <c r="Y925" s="167"/>
      <c r="Z925" s="167"/>
    </row>
    <row r="926" spans="5:26" ht="12.75" customHeight="1">
      <c r="E926" s="264"/>
      <c r="F926" s="264"/>
      <c r="O926" s="149"/>
      <c r="P926" s="149"/>
      <c r="V926" s="167"/>
      <c r="W926" s="167"/>
      <c r="X926" s="167"/>
      <c r="Y926" s="167"/>
      <c r="Z926" s="167"/>
    </row>
    <row r="927" spans="5:26" ht="12.75" customHeight="1">
      <c r="E927" s="264"/>
      <c r="F927" s="264"/>
      <c r="O927" s="149"/>
      <c r="P927" s="149"/>
      <c r="V927" s="167"/>
      <c r="W927" s="167"/>
      <c r="X927" s="167"/>
      <c r="Y927" s="167"/>
      <c r="Z927" s="167"/>
    </row>
    <row r="928" spans="5:26" ht="12.75" customHeight="1">
      <c r="E928" s="264"/>
      <c r="F928" s="264"/>
      <c r="O928" s="149"/>
      <c r="P928" s="149"/>
      <c r="V928" s="167"/>
      <c r="W928" s="167"/>
      <c r="X928" s="167"/>
      <c r="Y928" s="167"/>
      <c r="Z928" s="167"/>
    </row>
    <row r="929" spans="5:26" ht="12.75" customHeight="1">
      <c r="E929" s="264"/>
      <c r="F929" s="264"/>
      <c r="O929" s="149"/>
      <c r="P929" s="149"/>
      <c r="V929" s="167"/>
      <c r="W929" s="167"/>
      <c r="X929" s="167"/>
      <c r="Y929" s="167"/>
      <c r="Z929" s="167"/>
    </row>
    <row r="930" spans="5:26" ht="12.75" customHeight="1">
      <c r="E930" s="264"/>
      <c r="F930" s="264"/>
      <c r="O930" s="149"/>
      <c r="P930" s="149"/>
      <c r="V930" s="167"/>
      <c r="W930" s="167"/>
      <c r="X930" s="167"/>
      <c r="Y930" s="167"/>
      <c r="Z930" s="167"/>
    </row>
    <row r="931" spans="5:26" ht="12.75" customHeight="1">
      <c r="E931" s="264"/>
      <c r="F931" s="264"/>
      <c r="O931" s="149"/>
      <c r="P931" s="149"/>
      <c r="V931" s="167"/>
      <c r="W931" s="167"/>
      <c r="X931" s="167"/>
      <c r="Y931" s="167"/>
      <c r="Z931" s="167"/>
    </row>
    <row r="932" spans="5:26" ht="12.75" customHeight="1">
      <c r="E932" s="264"/>
      <c r="F932" s="264"/>
      <c r="O932" s="149"/>
      <c r="P932" s="149"/>
      <c r="V932" s="167"/>
      <c r="W932" s="167"/>
      <c r="X932" s="167"/>
      <c r="Y932" s="167"/>
      <c r="Z932" s="167"/>
    </row>
    <row r="933" spans="5:26" ht="12.75" customHeight="1">
      <c r="E933" s="264"/>
      <c r="F933" s="264"/>
      <c r="O933" s="149"/>
      <c r="P933" s="149"/>
      <c r="V933" s="167"/>
      <c r="W933" s="167"/>
      <c r="X933" s="167"/>
      <c r="Y933" s="167"/>
      <c r="Z933" s="167"/>
    </row>
    <row r="934" spans="5:26" ht="12.75" customHeight="1">
      <c r="E934" s="264"/>
      <c r="F934" s="264"/>
      <c r="O934" s="149"/>
      <c r="P934" s="149"/>
      <c r="V934" s="167"/>
      <c r="W934" s="167"/>
      <c r="X934" s="167"/>
      <c r="Y934" s="167"/>
      <c r="Z934" s="167"/>
    </row>
    <row r="935" spans="5:26" ht="12.75" customHeight="1">
      <c r="E935" s="264"/>
      <c r="F935" s="264"/>
      <c r="O935" s="149"/>
      <c r="P935" s="149"/>
      <c r="V935" s="167"/>
      <c r="W935" s="167"/>
      <c r="X935" s="167"/>
      <c r="Y935" s="167"/>
      <c r="Z935" s="167"/>
    </row>
  </sheetData>
  <mergeCells count="1">
    <mergeCell ref="D4:R4"/>
  </mergeCells>
  <pageMargins left="0.7" right="0.7" top="0.75" bottom="0.75" header="0.511811023622047" footer="0.511811023622047"/>
  <pageSetup orientation="landscape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990"/>
  <sheetViews>
    <sheetView showGridLines="0" topLeftCell="B16" zoomScaleNormal="100" workbookViewId="0">
      <selection activeCell="Q28" sqref="Q28"/>
    </sheetView>
  </sheetViews>
  <sheetFormatPr defaultColWidth="12.5703125" defaultRowHeight="15"/>
  <cols>
    <col min="1" max="26" width="8.5703125" customWidth="1"/>
  </cols>
  <sheetData>
    <row r="1" spans="1:13" ht="12.75" customHeight="1"/>
    <row r="2" spans="1:13" ht="12.75" customHeight="1">
      <c r="A2" s="2" t="s">
        <v>220</v>
      </c>
    </row>
    <row r="3" spans="1:13" ht="12.75" customHeight="1"/>
    <row r="4" spans="1:13" ht="12.75" customHeight="1"/>
    <row r="5" spans="1:13" ht="12.75" customHeight="1">
      <c r="D5" s="134"/>
      <c r="E5" s="2" t="s">
        <v>221</v>
      </c>
      <c r="M5" s="2" t="s">
        <v>222</v>
      </c>
    </row>
    <row r="6" spans="1:13" ht="12.75" customHeight="1"/>
    <row r="7" spans="1:13" ht="12.75" customHeight="1"/>
    <row r="8" spans="1:13" ht="12.75" customHeight="1"/>
    <row r="9" spans="1:13" ht="12.75" customHeight="1"/>
    <row r="10" spans="1:13" ht="12.75" customHeight="1"/>
    <row r="11" spans="1:13" ht="12.75" customHeight="1"/>
    <row r="12" spans="1:13" ht="12.75" customHeight="1"/>
    <row r="13" spans="1:13" ht="12.75" customHeight="1"/>
    <row r="14" spans="1:13" ht="12.75" customHeight="1"/>
    <row r="15" spans="1:13" ht="12.75" customHeight="1"/>
    <row r="16" spans="1:13" ht="12.75" customHeight="1"/>
    <row r="17" spans="2:5" ht="12.75" customHeight="1"/>
    <row r="18" spans="2:5" ht="12.75" customHeight="1"/>
    <row r="19" spans="2:5" ht="12.75" customHeight="1"/>
    <row r="20" spans="2:5" ht="12.75" customHeight="1"/>
    <row r="21" spans="2:5" ht="12.75" customHeight="1"/>
    <row r="22" spans="2:5" ht="12.75" customHeight="1"/>
    <row r="23" spans="2:5" ht="12.75" customHeight="1"/>
    <row r="24" spans="2:5" ht="12.75" customHeight="1"/>
    <row r="25" spans="2:5" ht="12.75" customHeight="1"/>
    <row r="26" spans="2:5" ht="12.75" customHeight="1"/>
    <row r="27" spans="2:5" ht="12.75" customHeight="1"/>
    <row r="28" spans="2:5" ht="12.75" customHeight="1">
      <c r="C28" s="1" t="s">
        <v>223</v>
      </c>
      <c r="D28" s="1" t="s">
        <v>224</v>
      </c>
      <c r="E28" s="1" t="s">
        <v>225</v>
      </c>
    </row>
    <row r="29" spans="2:5" ht="12.75" customHeight="1">
      <c r="B29" s="488" t="s">
        <v>226</v>
      </c>
      <c r="C29" s="488"/>
      <c r="D29" s="488"/>
      <c r="E29" s="488"/>
    </row>
    <row r="30" spans="2:5" ht="15.75" customHeight="1">
      <c r="B30" s="302">
        <v>2014</v>
      </c>
      <c r="C30" s="303">
        <v>93.17</v>
      </c>
      <c r="D30" s="303">
        <v>53.45</v>
      </c>
      <c r="E30" s="303">
        <v>53.45</v>
      </c>
    </row>
    <row r="31" spans="2:5" ht="15" customHeight="1">
      <c r="B31" s="302">
        <v>2015</v>
      </c>
      <c r="C31" s="303">
        <v>53.45</v>
      </c>
      <c r="D31" s="303">
        <v>34.549999999999997</v>
      </c>
      <c r="E31" s="303">
        <v>37.130000000000003</v>
      </c>
    </row>
    <row r="32" spans="2:5" ht="13.5" customHeight="1">
      <c r="B32" s="488" t="s">
        <v>227</v>
      </c>
      <c r="C32" s="488"/>
      <c r="D32" s="488"/>
      <c r="E32" s="488"/>
    </row>
    <row r="33" spans="2:5" ht="13.5" customHeight="1">
      <c r="B33" s="302">
        <v>2016</v>
      </c>
      <c r="C33" s="303">
        <v>34.549999999999997</v>
      </c>
      <c r="D33" s="303">
        <v>50.8</v>
      </c>
      <c r="E33" s="303">
        <v>53.75</v>
      </c>
    </row>
    <row r="34" spans="2:5" ht="14.25" customHeight="1">
      <c r="B34" s="302">
        <v>2017</v>
      </c>
      <c r="C34" s="303">
        <v>50.8</v>
      </c>
      <c r="D34" s="303">
        <v>62.48</v>
      </c>
      <c r="E34" s="303">
        <v>60.46</v>
      </c>
    </row>
    <row r="35" spans="2:5" ht="14.25" customHeight="1"/>
    <row r="36" spans="2:5" ht="12.75" customHeight="1"/>
    <row r="37" spans="2:5" ht="12.75" customHeight="1"/>
    <row r="38" spans="2:5" ht="12.75" customHeight="1"/>
    <row r="39" spans="2:5" ht="12.75" customHeight="1"/>
    <row r="40" spans="2:5" ht="12.75" customHeight="1"/>
    <row r="41" spans="2:5" ht="12.75" customHeight="1"/>
    <row r="42" spans="2:5" ht="12.75" customHeight="1"/>
    <row r="43" spans="2:5" ht="12.75" customHeight="1"/>
    <row r="44" spans="2:5" ht="12.75" customHeight="1"/>
    <row r="45" spans="2:5" ht="12.75" customHeight="1"/>
    <row r="46" spans="2:5" ht="12.75" customHeight="1"/>
    <row r="47" spans="2:5" ht="12.75" customHeight="1"/>
    <row r="48" spans="2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</sheetData>
  <mergeCells count="2">
    <mergeCell ref="B29:E29"/>
    <mergeCell ref="B32:E32"/>
  </mergeCells>
  <pageMargins left="0.7" right="0.7" top="0.75" bottom="0.75" header="0.511811023622047" footer="0.511811023622047"/>
  <pageSetup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1000"/>
  <sheetViews>
    <sheetView showGridLines="0" topLeftCell="A4" zoomScaleNormal="100" workbookViewId="0">
      <selection activeCell="A4" sqref="A4"/>
    </sheetView>
  </sheetViews>
  <sheetFormatPr defaultColWidth="12.5703125" defaultRowHeight="15"/>
  <cols>
    <col min="1" max="26" width="8.5703125" customWidth="1"/>
  </cols>
  <sheetData>
    <row r="1" spans="1:1" ht="12.75" customHeight="1"/>
    <row r="2" spans="1:1" ht="12.75" customHeight="1">
      <c r="A2" s="2" t="s">
        <v>228</v>
      </c>
    </row>
    <row r="3" spans="1:1" ht="12.75" customHeight="1"/>
    <row r="4" spans="1:1" ht="12.75" customHeight="1"/>
    <row r="5" spans="1:1" ht="12.75" customHeight="1"/>
    <row r="6" spans="1:1" ht="12.75" customHeight="1"/>
    <row r="7" spans="1:1" ht="12.75" customHeight="1"/>
    <row r="8" spans="1:1" ht="12.75" customHeight="1"/>
    <row r="9" spans="1:1" ht="12.75" customHeight="1"/>
    <row r="10" spans="1:1" ht="12.75" customHeight="1"/>
    <row r="11" spans="1:1" ht="12.75" customHeight="1"/>
    <row r="12" spans="1:1" ht="12.75" customHeight="1"/>
    <row r="13" spans="1:1" ht="12.75" customHeight="1"/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.511811023622047" footer="0.511811023622047"/>
  <pageSetup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000"/>
  <sheetViews>
    <sheetView showGridLines="0" topLeftCell="A4" zoomScaleNormal="100" workbookViewId="0">
      <selection activeCell="F17" sqref="F17"/>
    </sheetView>
  </sheetViews>
  <sheetFormatPr defaultColWidth="12.5703125" defaultRowHeight="15"/>
  <cols>
    <col min="1" max="1" width="1.5703125" customWidth="1"/>
    <col min="2" max="2" width="25.42578125" customWidth="1"/>
    <col min="3" max="3" width="11" hidden="1" customWidth="1"/>
    <col min="4" max="4" width="10.5703125" customWidth="1"/>
    <col min="5" max="5" width="9" customWidth="1"/>
    <col min="6" max="25" width="8.5703125" customWidth="1"/>
  </cols>
  <sheetData>
    <row r="1" spans="2:8" ht="12.75" customHeight="1">
      <c r="D1" s="187"/>
      <c r="E1" s="304"/>
    </row>
    <row r="2" spans="2:8" ht="12.75" customHeight="1">
      <c r="B2" s="305" t="s">
        <v>106</v>
      </c>
      <c r="C2" s="187"/>
      <c r="E2" s="304"/>
    </row>
    <row r="3" spans="2:8" ht="12.75" customHeight="1">
      <c r="B3" s="306" t="s">
        <v>229</v>
      </c>
      <c r="C3" s="306"/>
      <c r="D3" s="187"/>
      <c r="E3" s="304"/>
    </row>
    <row r="4" spans="2:8" ht="12.75" customHeight="1">
      <c r="B4" s="307" t="s">
        <v>230</v>
      </c>
      <c r="C4" s="308">
        <v>39264</v>
      </c>
      <c r="D4" s="309">
        <f>E4-1</f>
        <v>2014</v>
      </c>
      <c r="E4" s="310">
        <v>2015</v>
      </c>
      <c r="F4" s="311">
        <v>2016</v>
      </c>
      <c r="G4" s="311">
        <v>2017</v>
      </c>
      <c r="H4" s="311">
        <v>2018</v>
      </c>
    </row>
    <row r="5" spans="2:8" ht="12.75" customHeight="1">
      <c r="B5" s="187" t="s">
        <v>231</v>
      </c>
      <c r="C5" s="312">
        <v>82.600999999999999</v>
      </c>
      <c r="D5" s="313">
        <f>'Ex 1 Income Statement'!C5</f>
        <v>7212.4</v>
      </c>
      <c r="E5" s="313">
        <f>'Ex 1 Income Statement'!D5</f>
        <v>6508.46976</v>
      </c>
      <c r="F5" s="314">
        <f ca="1">'Ex 1 Income Statement'!F5</f>
        <v>6098.4361651200006</v>
      </c>
      <c r="G5" s="314">
        <f ca="1">'Ex 1 Income Statement'!G5</f>
        <v>6710.8831695360004</v>
      </c>
      <c r="H5" s="314">
        <f ca="1">'Ex 1 Income Statement'!H5</f>
        <v>6997.4966523571202</v>
      </c>
    </row>
    <row r="6" spans="2:8" ht="12.75" customHeight="1">
      <c r="B6" s="315" t="s">
        <v>232</v>
      </c>
      <c r="C6" s="316">
        <f>15.916+22.118</f>
        <v>38.033999999999999</v>
      </c>
      <c r="D6" s="317">
        <f>'Ex 1 Income Statement'!C6</f>
        <v>6015.1415999999999</v>
      </c>
      <c r="E6" s="317">
        <f>'Ex 1 Income Statement'!D6</f>
        <v>5467.1145984000004</v>
      </c>
      <c r="F6" s="314">
        <f ca="1">'Ex 1 Income Statement'!F6</f>
        <v>5000.7176553984</v>
      </c>
      <c r="G6" s="314">
        <f ca="1">'Ex 1 Income Statement'!G6</f>
        <v>5469.36978317184</v>
      </c>
      <c r="H6" s="314">
        <f ca="1">'Ex 1 Income Statement'!H6</f>
        <v>5667.972288409268</v>
      </c>
    </row>
    <row r="7" spans="2:8" ht="12.75" customHeight="1">
      <c r="B7" s="187" t="s">
        <v>233</v>
      </c>
      <c r="C7" s="312">
        <f>C5-C6</f>
        <v>44.567</v>
      </c>
      <c r="D7" s="318">
        <f>D5-D6</f>
        <v>1197.2583999999997</v>
      </c>
      <c r="E7" s="318">
        <f>E5-E6</f>
        <v>1041.3551615999995</v>
      </c>
      <c r="F7">
        <f ca="1">F5-F6</f>
        <v>1097.7185097216006</v>
      </c>
      <c r="G7">
        <f ca="1">G5-G6</f>
        <v>1241.5133863641604</v>
      </c>
      <c r="H7">
        <f ca="1">H5-H6</f>
        <v>1329.5243639478522</v>
      </c>
    </row>
    <row r="8" spans="2:8" ht="12.75" customHeight="1">
      <c r="B8" s="315" t="s">
        <v>234</v>
      </c>
      <c r="C8" s="319">
        <f>C7/C5</f>
        <v>0.53954552608321937</v>
      </c>
      <c r="D8" s="320">
        <f>D7/D5</f>
        <v>0.16599999999999998</v>
      </c>
      <c r="E8" s="320">
        <f>E7/E5</f>
        <v>0.15999999999999992</v>
      </c>
      <c r="F8">
        <f ca="1">F7/F5</f>
        <v>0.18000000000000008</v>
      </c>
      <c r="G8">
        <f ca="1">G7/G5</f>
        <v>0.18500000000000005</v>
      </c>
      <c r="H8">
        <f ca="1">H7/H5</f>
        <v>0.18999999999999992</v>
      </c>
    </row>
    <row r="9" spans="2:8" ht="12.75" customHeight="1">
      <c r="B9" s="187" t="s">
        <v>73</v>
      </c>
      <c r="C9" s="312">
        <f>C7-29.605+0.706-6.838</f>
        <v>8.8299999999999983</v>
      </c>
      <c r="D9" s="313">
        <f>'Ex 1 Income Statement'!C24</f>
        <v>702.753627330987</v>
      </c>
      <c r="E9" s="313">
        <f>'Ex 1 Income Statement'!D24</f>
        <v>494.64370176</v>
      </c>
      <c r="F9" s="321">
        <f ca="1">'Ex 1 Income Statement'!F24</f>
        <v>593.71165647108171</v>
      </c>
      <c r="G9" s="321">
        <f ca="1">'Ex 1 Income Statement'!G24</f>
        <v>660.95065756164149</v>
      </c>
      <c r="H9" s="321">
        <f ca="1">'Ex 1 Income Statement'!H24</f>
        <v>450.72882532930123</v>
      </c>
    </row>
    <row r="10" spans="2:8" ht="12.75" customHeight="1">
      <c r="B10" s="315" t="s">
        <v>234</v>
      </c>
      <c r="C10" s="319">
        <f>C9/C5</f>
        <v>0.10689943221026378</v>
      </c>
      <c r="D10" s="320">
        <f>D9/D5</f>
        <v>9.7436862532719631E-2</v>
      </c>
      <c r="E10" s="320">
        <f>E9/E5</f>
        <v>7.5999999999999998E-2</v>
      </c>
      <c r="F10">
        <f ca="1">F9/F5</f>
        <v>9.7354738230567187E-2</v>
      </c>
      <c r="G10">
        <f ca="1">G9/G5</f>
        <v>9.8489370305539156E-2</v>
      </c>
      <c r="H10">
        <f ca="1">H9/H5</f>
        <v>6.4412867589936237E-2</v>
      </c>
    </row>
    <row r="11" spans="2:8" ht="12.75" customHeight="1">
      <c r="B11" s="322" t="s">
        <v>211</v>
      </c>
      <c r="C11" s="323">
        <v>8.0589999999999993</v>
      </c>
      <c r="D11" s="324">
        <f>'Ex 1 Income Statement'!C14</f>
        <v>366.149</v>
      </c>
      <c r="E11" s="324">
        <f>'Ex 1 Income Statement'!D14</f>
        <v>365.74400000000003</v>
      </c>
      <c r="F11">
        <f ca="1">-'Ex 1 Income Statement'!F14</f>
        <v>367.03243498382392</v>
      </c>
      <c r="G11">
        <f ca="1">-'Ex 1 Income Statement'!G14</f>
        <v>372.1497160115216</v>
      </c>
      <c r="H11">
        <f ca="1">-'Ex 1 Income Statement'!H14</f>
        <v>385.42450000000002</v>
      </c>
    </row>
    <row r="12" spans="2:8" ht="12.75" customHeight="1">
      <c r="B12" s="187" t="s">
        <v>29</v>
      </c>
      <c r="C12" s="325">
        <f>6.299-3.04</f>
        <v>3.2590000000000003</v>
      </c>
      <c r="D12" s="326">
        <f>-'Ex 1 Income Statement'!C20</f>
        <v>306.61976712699698</v>
      </c>
      <c r="E12" s="326">
        <f>-'Ex 1 Income Statement'!D20</f>
        <v>273.35572991999999</v>
      </c>
      <c r="F12" s="327">
        <f ca="1">'Ex 1 Income Statement'!F20</f>
        <v>250</v>
      </c>
      <c r="G12" s="327">
        <f ca="1">'Ex 1 Income Statement'!G20</f>
        <v>700</v>
      </c>
      <c r="H12" s="327">
        <f ca="1">'Ex 1 Income Statement'!H20</f>
        <v>350</v>
      </c>
    </row>
    <row r="13" spans="2:8" ht="12.75" customHeight="1">
      <c r="B13" s="315" t="s">
        <v>235</v>
      </c>
      <c r="C13" s="328">
        <f>C9-C12</f>
        <v>5.570999999999998</v>
      </c>
      <c r="D13" s="329">
        <f>D9-D12</f>
        <v>396.13386020399003</v>
      </c>
      <c r="E13" s="329">
        <f>E9-E12</f>
        <v>221.28797184000001</v>
      </c>
      <c r="F13">
        <f ca="1">F9-F12</f>
        <v>343.71165647108171</v>
      </c>
      <c r="G13">
        <f ca="1">G9-G12</f>
        <v>-39.049342438358508</v>
      </c>
      <c r="H13">
        <f ca="1">H9-H12</f>
        <v>100.72882532930123</v>
      </c>
    </row>
    <row r="14" spans="2:8" ht="12.75" customHeight="1">
      <c r="B14" s="187"/>
      <c r="C14" s="187"/>
      <c r="D14" s="187"/>
      <c r="E14" s="330"/>
    </row>
    <row r="15" spans="2:8" ht="12.75" customHeight="1">
      <c r="B15" s="331" t="s">
        <v>236</v>
      </c>
      <c r="C15" s="332"/>
      <c r="D15" s="332"/>
      <c r="E15" s="333"/>
    </row>
    <row r="16" spans="2:8" ht="12.75" customHeight="1">
      <c r="B16" s="322" t="s">
        <v>237</v>
      </c>
      <c r="C16" s="323">
        <v>14.362</v>
      </c>
      <c r="D16" s="324">
        <f>'Ex 2 Balance Sheet'!B6</f>
        <v>338.51863886632401</v>
      </c>
      <c r="E16" s="324">
        <f>'Ex 2 Balance Sheet'!C6</f>
        <v>264.99168816493801</v>
      </c>
      <c r="F16">
        <f ca="1">'Ex 2 Balance Sheet'!E6</f>
        <v>191</v>
      </c>
      <c r="G16">
        <f ca="1">'Ex 2 Balance Sheet'!F6</f>
        <v>191</v>
      </c>
      <c r="H16">
        <f ca="1">'Ex 2 Balance Sheet'!G6</f>
        <v>-73.875668259588565</v>
      </c>
    </row>
    <row r="17" spans="2:5" ht="12.75" customHeight="1">
      <c r="B17" s="187" t="s">
        <v>238</v>
      </c>
      <c r="C17" s="325">
        <v>604.17499999999995</v>
      </c>
      <c r="D17" s="318">
        <f>'Ex 2 Balance Sheet'!B19</f>
        <v>6910.6093314559103</v>
      </c>
      <c r="E17" s="318">
        <f>'Ex 2 Balance Sheet'!C19</f>
        <v>6777.9582811010196</v>
      </c>
    </row>
    <row r="18" spans="2:5" ht="12.75" customHeight="1">
      <c r="B18" s="187" t="s">
        <v>171</v>
      </c>
      <c r="C18" s="325">
        <f>330.72+1.823</f>
        <v>332.54300000000001</v>
      </c>
      <c r="D18" s="318">
        <f>'Ex 2 Balance Sheet'!B27+'Ex 2 Balance Sheet'!B22</f>
        <v>4592.2</v>
      </c>
      <c r="E18" s="318">
        <f>'Ex 2 Balance Sheet'!C27+'Ex 2 Balance Sheet'!C22</f>
        <v>4583.2</v>
      </c>
    </row>
    <row r="19" spans="2:5" ht="12.75" customHeight="1">
      <c r="B19" s="187" t="s">
        <v>239</v>
      </c>
      <c r="C19" s="325">
        <f>C17-C20</f>
        <v>474.16699999999992</v>
      </c>
      <c r="D19" s="318">
        <f>'Ex 2 Balance Sheet'!B30</f>
        <v>6451.8287067063802</v>
      </c>
      <c r="E19" s="318">
        <f>'Ex 2 Balance Sheet'!C30</f>
        <v>6399.24182391266</v>
      </c>
    </row>
    <row r="20" spans="2:5" ht="12.75" customHeight="1">
      <c r="B20" s="187" t="s">
        <v>240</v>
      </c>
      <c r="C20" s="325">
        <v>130.00800000000001</v>
      </c>
      <c r="D20" s="329">
        <f>'Ex 2 Balance Sheet'!B33</f>
        <v>458.78062474952702</v>
      </c>
      <c r="E20" s="329">
        <f>'Ex 2 Balance Sheet'!C33</f>
        <v>378.71645718835498</v>
      </c>
    </row>
    <row r="21" spans="2:5" ht="12.75" customHeight="1">
      <c r="B21" s="322" t="s">
        <v>241</v>
      </c>
      <c r="C21" s="323">
        <f>C20+C18</f>
        <v>462.55100000000004</v>
      </c>
      <c r="D21" s="329"/>
      <c r="E21" s="329"/>
    </row>
    <row r="22" spans="2:5" ht="12.75" customHeight="1">
      <c r="B22" s="187"/>
      <c r="C22" s="187"/>
      <c r="D22" s="334"/>
      <c r="E22" s="334"/>
    </row>
    <row r="23" spans="2:5" ht="12.75" customHeight="1">
      <c r="B23" s="335" t="s">
        <v>242</v>
      </c>
      <c r="C23" s="336"/>
      <c r="D23" s="337"/>
      <c r="E23" s="338"/>
    </row>
    <row r="24" spans="2:5" ht="12.75" customHeight="1">
      <c r="B24" s="330" t="s">
        <v>243</v>
      </c>
      <c r="C24" s="339">
        <f>C9/C11</f>
        <v>1.0956694378955205</v>
      </c>
      <c r="D24" s="339">
        <f>D9/D11</f>
        <v>1.9193105192994846</v>
      </c>
      <c r="E24" s="339">
        <f>E9/E11</f>
        <v>1.3524314869416858</v>
      </c>
    </row>
    <row r="25" spans="2:5" ht="12.75" customHeight="1">
      <c r="B25" s="330" t="s">
        <v>244</v>
      </c>
      <c r="C25" s="339">
        <f>(C13/C11)</f>
        <v>0.69127683335401391</v>
      </c>
      <c r="D25" s="339">
        <f>(D13/D11)</f>
        <v>1.0818925087983036</v>
      </c>
      <c r="E25" s="339">
        <f>(E13/E11)</f>
        <v>0.60503513889496474</v>
      </c>
    </row>
    <row r="26" spans="2:5" ht="12.75" customHeight="1">
      <c r="B26" s="330" t="s">
        <v>245</v>
      </c>
      <c r="C26" s="330"/>
      <c r="D26" s="339">
        <f>D18/D9</f>
        <v>6.5345802873204359</v>
      </c>
      <c r="E26" s="339">
        <f>E18/E9</f>
        <v>9.2656592688685606</v>
      </c>
    </row>
    <row r="27" spans="2:5" ht="12.75" customHeight="1">
      <c r="B27" s="330" t="s">
        <v>246</v>
      </c>
      <c r="C27" s="330"/>
      <c r="D27" s="339">
        <f>(D18-D16)/D9</f>
        <v>6.0528771331837641</v>
      </c>
      <c r="E27" s="339">
        <f>(E18-E16)/E9</f>
        <v>8.7299369151378521</v>
      </c>
    </row>
    <row r="28" spans="2:5" ht="12.75" customHeight="1">
      <c r="E28" s="304"/>
    </row>
    <row r="29" spans="2:5" ht="12.75" customHeight="1">
      <c r="E29" s="304"/>
    </row>
    <row r="30" spans="2:5" ht="12.75" customHeight="1">
      <c r="D30" s="340"/>
      <c r="E30" s="341"/>
    </row>
    <row r="31" spans="2:5" ht="12.75" customHeight="1">
      <c r="E31" s="304"/>
    </row>
    <row r="32" spans="2:5" ht="12.75" customHeight="1">
      <c r="E32" s="304"/>
    </row>
    <row r="33" spans="5:5" ht="12.75" customHeight="1">
      <c r="E33" s="304"/>
    </row>
    <row r="34" spans="5:5" ht="12.75" customHeight="1">
      <c r="E34" s="304"/>
    </row>
    <row r="35" spans="5:5" ht="12.75" customHeight="1"/>
    <row r="36" spans="5:5" ht="12.75" customHeight="1"/>
    <row r="37" spans="5:5" ht="12.75" customHeight="1"/>
    <row r="38" spans="5:5" ht="12.75" customHeight="1"/>
    <row r="39" spans="5:5" ht="12.75" customHeight="1"/>
    <row r="40" spans="5:5" ht="12.75" customHeight="1"/>
    <row r="41" spans="5:5" ht="12.75" customHeight="1"/>
    <row r="42" spans="5:5" ht="12.75" customHeight="1"/>
    <row r="43" spans="5:5" ht="12.75" customHeight="1"/>
    <row r="44" spans="5:5" ht="12.75" customHeight="1"/>
    <row r="45" spans="5:5" ht="12.75" customHeight="1"/>
    <row r="46" spans="5:5" ht="12.75" customHeight="1"/>
    <row r="47" spans="5:5" ht="12.75" customHeight="1"/>
    <row r="48" spans="5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.511811023622047" footer="0.511811023622047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O28"/>
  <sheetViews>
    <sheetView showGridLines="0" topLeftCell="A11" zoomScaleNormal="100" workbookViewId="0">
      <selection activeCell="F20" sqref="F20"/>
    </sheetView>
  </sheetViews>
  <sheetFormatPr defaultColWidth="8.7109375" defaultRowHeight="12.75"/>
  <cols>
    <col min="2" max="2" width="23.28515625" customWidth="1"/>
    <col min="3" max="3" width="11.28515625" customWidth="1"/>
    <col min="4" max="4" width="12.140625" customWidth="1"/>
    <col min="5" max="5" width="11" customWidth="1"/>
    <col min="6" max="6" width="10.140625" customWidth="1"/>
    <col min="7" max="7" width="12.7109375" customWidth="1"/>
    <col min="12" max="12" width="12" customWidth="1"/>
    <col min="13" max="13" width="9.85546875" customWidth="1"/>
    <col min="14" max="14" width="11" customWidth="1"/>
    <col min="15" max="15" width="9.5703125" customWidth="1"/>
  </cols>
  <sheetData>
    <row r="2" spans="2:15" ht="12.75" customHeight="1"/>
    <row r="3" spans="2:15" ht="13.5" customHeight="1">
      <c r="B3" s="342" t="s">
        <v>247</v>
      </c>
      <c r="E3" s="342" t="s">
        <v>248</v>
      </c>
      <c r="F3" s="342" t="s">
        <v>249</v>
      </c>
      <c r="G3" s="342" t="s">
        <v>250</v>
      </c>
      <c r="J3" s="343" t="s">
        <v>251</v>
      </c>
    </row>
    <row r="4" spans="2:15" ht="13.5" customHeight="1">
      <c r="B4" s="281" t="s">
        <v>252</v>
      </c>
      <c r="J4" s="281" t="s">
        <v>253</v>
      </c>
      <c r="L4" s="265">
        <f ca="1">L25/(L25+'Pro-Forma Cap Table'!G13)</f>
        <v>0.10149512038267577</v>
      </c>
    </row>
    <row r="5" spans="2:15" ht="13.5" customHeight="1">
      <c r="B5" s="281" t="s">
        <v>254</v>
      </c>
      <c r="J5" s="281" t="s">
        <v>255</v>
      </c>
      <c r="L5" s="265">
        <f>M21+3*M22</f>
        <v>0.1822</v>
      </c>
    </row>
    <row r="6" spans="2:15" ht="13.5" customHeight="1">
      <c r="B6" s="343" t="s">
        <v>256</v>
      </c>
      <c r="J6" s="281" t="s">
        <v>257</v>
      </c>
      <c r="L6" s="265">
        <f ca="1">'Pro-Forma Cap Table'!G13/('Pro-Forma Cap Table'!G13+DCF!L25)</f>
        <v>0.89850487961732417</v>
      </c>
    </row>
    <row r="7" spans="2:15" ht="13.5" customHeight="1">
      <c r="B7" s="343" t="s">
        <v>258</v>
      </c>
      <c r="J7" s="281" t="s">
        <v>259</v>
      </c>
      <c r="L7" s="265">
        <f>O18</f>
        <v>5.4930006890215897E-2</v>
      </c>
    </row>
    <row r="8" spans="2:15" ht="13.5" customHeight="1">
      <c r="B8" s="344" t="s">
        <v>260</v>
      </c>
      <c r="J8" s="281" t="s">
        <v>64</v>
      </c>
      <c r="L8" s="345">
        <v>0.25</v>
      </c>
    </row>
    <row r="9" spans="2:15" ht="13.5" customHeight="1">
      <c r="B9" s="346" t="s">
        <v>261</v>
      </c>
      <c r="J9" s="281" t="s">
        <v>262</v>
      </c>
      <c r="L9" s="265">
        <f ca="1">(L5*L4)+(L7*L6)</f>
        <v>6.7847290161995755E-2</v>
      </c>
    </row>
    <row r="10" spans="2:15" ht="13.5" customHeight="1">
      <c r="B10" s="346" t="s">
        <v>191</v>
      </c>
    </row>
    <row r="11" spans="2:15" ht="13.5" customHeight="1">
      <c r="B11" s="346" t="s">
        <v>263</v>
      </c>
      <c r="C11" s="265">
        <f ca="1">L9</f>
        <v>6.7847290161995755E-2</v>
      </c>
    </row>
    <row r="12" spans="2:15" ht="13.5" customHeight="1">
      <c r="B12" s="346" t="s">
        <v>264</v>
      </c>
      <c r="C12" s="265">
        <v>0.02</v>
      </c>
      <c r="J12" s="343" t="s">
        <v>265</v>
      </c>
      <c r="M12" t="s">
        <v>266</v>
      </c>
      <c r="N12" t="s">
        <v>267</v>
      </c>
    </row>
    <row r="13" spans="2:15" ht="13.5" customHeight="1">
      <c r="B13" s="346" t="s">
        <v>191</v>
      </c>
      <c r="J13" s="281" t="s">
        <v>268</v>
      </c>
      <c r="M13" s="265">
        <f>'Pro-Forma Cap Table'!G10/'Pro-Forma Cap Table'!G13</f>
        <v>6.2930638493339464E-2</v>
      </c>
      <c r="N13" s="265">
        <v>5.2999999999999999E-2</v>
      </c>
      <c r="O13" s="265">
        <f>M13*N13</f>
        <v>3.3353238401469913E-3</v>
      </c>
    </row>
    <row r="14" spans="2:15" ht="13.5" customHeight="1">
      <c r="B14" s="347" t="s">
        <v>269</v>
      </c>
      <c r="J14" s="281" t="s">
        <v>270</v>
      </c>
      <c r="M14" s="265">
        <f>'Pro-Forma Cap Table'!G11/'Pro-Forma Cap Table'!G13</f>
        <v>0.50643086816720262</v>
      </c>
      <c r="N14" s="265">
        <v>5.2999999999999999E-2</v>
      </c>
      <c r="O14" s="265">
        <f>M14*N14</f>
        <v>2.6840836012861739E-2</v>
      </c>
    </row>
    <row r="15" spans="2:15" ht="13.5" customHeight="1">
      <c r="B15" s="346" t="s">
        <v>73</v>
      </c>
      <c r="E15" s="166">
        <f ca="1">'Ex 1 Income Statement'!F24</f>
        <v>593.71165647108171</v>
      </c>
      <c r="F15" s="166">
        <f ca="1">'Ex 1 Income Statement'!G24</f>
        <v>660.95065756164149</v>
      </c>
      <c r="G15" s="166">
        <f ca="1">'Ex 1 Income Statement'!H24</f>
        <v>450.72882532930123</v>
      </c>
      <c r="J15" s="281" t="s">
        <v>271</v>
      </c>
      <c r="M15" s="265">
        <f>'Pro-Forma Cap Table'!G12/'Pro-Forma Cap Table'!G13</f>
        <v>0.43063849333945797</v>
      </c>
      <c r="N15" s="265">
        <v>0.1</v>
      </c>
      <c r="O15" s="265">
        <f>M15*N15</f>
        <v>4.3063849333945803E-2</v>
      </c>
    </row>
    <row r="16" spans="2:15" ht="13.5" customHeight="1">
      <c r="B16" s="343" t="s">
        <v>272</v>
      </c>
      <c r="E16" s="166">
        <f ca="1">-('Statement of Cash Flows'!D12+'Statement of Cash Flows'!D13)</f>
        <v>-92.726639652561971</v>
      </c>
      <c r="F16" s="166">
        <f ca="1">-('Statement of Cash Flows'!E12+'Statement of Cash Flows'!E13)</f>
        <v>191.64893549568001</v>
      </c>
      <c r="G16" s="166">
        <f ca="1">-('Statement of Cash Flows'!F12+'Statement of Cash Flows'!F13)</f>
        <v>85.147164406886532</v>
      </c>
      <c r="J16" s="343" t="s">
        <v>273</v>
      </c>
      <c r="O16" s="348">
        <f>O13+O14+O15</f>
        <v>7.324000918695453E-2</v>
      </c>
    </row>
    <row r="17" spans="2:15" ht="13.5" customHeight="1">
      <c r="B17" s="346" t="s">
        <v>274</v>
      </c>
      <c r="E17" s="166">
        <f ca="1">'Statement of Cash Flows'!D14</f>
        <v>-54.882719769299911</v>
      </c>
      <c r="F17" s="166">
        <f ca="1">'Statement of Cash Flows'!E14</f>
        <v>59.063007883775981</v>
      </c>
      <c r="G17" s="166">
        <f ca="1">'Statement of Cash Flows'!F14</f>
        <v>25.029356824442857</v>
      </c>
      <c r="J17" s="349" t="s">
        <v>275</v>
      </c>
      <c r="O17" s="265">
        <v>0.25</v>
      </c>
    </row>
    <row r="18" spans="2:15" ht="13.5" customHeight="1">
      <c r="B18" s="346" t="s">
        <v>276</v>
      </c>
      <c r="E18" s="166">
        <f ca="1">'Statement of Cash Flows'!D21</f>
        <v>-250</v>
      </c>
      <c r="F18" s="166">
        <f ca="1">'Statement of Cash Flows'!E21</f>
        <v>-700</v>
      </c>
      <c r="G18" s="166">
        <f ca="1">'Statement of Cash Flows'!F21</f>
        <v>-350</v>
      </c>
      <c r="J18" s="350" t="s">
        <v>277</v>
      </c>
      <c r="O18" s="348">
        <f>O16*(1-O17)</f>
        <v>5.4930006890215897E-2</v>
      </c>
    </row>
    <row r="19" spans="2:15" ht="13.5" customHeight="1">
      <c r="B19" s="346" t="s">
        <v>278</v>
      </c>
      <c r="E19" s="166">
        <f ca="1">'Ex 1 Income Statement'!F16</f>
        <v>6.4967371383465888</v>
      </c>
      <c r="F19" s="166">
        <f ca="1">'Ex 1 Income Statement'!G16</f>
        <v>-8.8052435401596796</v>
      </c>
      <c r="G19" s="166">
        <f ca="1">'Ex 1 Income Statement'!H16</f>
        <v>47.886714140796464</v>
      </c>
    </row>
    <row r="20" spans="2:15" ht="13.5" customHeight="1">
      <c r="B20" s="351" t="s">
        <v>279</v>
      </c>
      <c r="C20" s="352"/>
      <c r="D20" s="352"/>
      <c r="E20" s="353">
        <f ca="1">SUM(E15:E19)</f>
        <v>202.59903418756642</v>
      </c>
      <c r="F20" s="353">
        <f ca="1">SUM(F15:F19)</f>
        <v>202.85735740093781</v>
      </c>
      <c r="G20" s="353">
        <f ca="1">SUM(G15:G19)</f>
        <v>258.79206070142709</v>
      </c>
      <c r="J20" s="89" t="s">
        <v>280</v>
      </c>
    </row>
    <row r="21" spans="2:15" ht="12.75" customHeight="1">
      <c r="J21" t="s">
        <v>281</v>
      </c>
      <c r="M21" s="265">
        <v>2.47E-2</v>
      </c>
    </row>
    <row r="22" spans="2:15" ht="12.75" customHeight="1">
      <c r="J22" t="s">
        <v>282</v>
      </c>
      <c r="M22" s="265">
        <v>5.2499999999999998E-2</v>
      </c>
    </row>
    <row r="23" spans="2:15" ht="12.75" customHeight="1">
      <c r="J23" t="s">
        <v>283</v>
      </c>
      <c r="M23" s="289">
        <v>1.5</v>
      </c>
    </row>
    <row r="24" spans="2:15" ht="12.75" customHeight="1">
      <c r="B24" s="89" t="s">
        <v>284</v>
      </c>
    </row>
    <row r="25" spans="2:15" ht="12.75" customHeight="1">
      <c r="B25" t="s">
        <v>285</v>
      </c>
      <c r="C25" s="166">
        <f ca="1">(G20*(1+C12))/(C11-C12)</f>
        <v>5516.8830046956482</v>
      </c>
      <c r="J25" s="89" t="s">
        <v>286</v>
      </c>
      <c r="L25" s="166">
        <f ca="1">Comps!K27*'Ex 1 Income Statement'!G17</f>
        <v>393.46230759203524</v>
      </c>
    </row>
    <row r="26" spans="2:15" ht="12.75" customHeight="1">
      <c r="B26" t="s">
        <v>287</v>
      </c>
      <c r="C26" s="166">
        <f ca="1">(E20+F20+G20)/(1+C11)</f>
        <v>622.04442377632733</v>
      </c>
    </row>
    <row r="27" spans="2:15" ht="12.75" customHeight="1">
      <c r="B27" t="s">
        <v>288</v>
      </c>
      <c r="C27" s="166">
        <f ca="1">C25/(1+C11)</f>
        <v>5166.3595118162639</v>
      </c>
    </row>
    <row r="28" spans="2:15" ht="12.75" customHeight="1">
      <c r="B28" s="89" t="s">
        <v>289</v>
      </c>
      <c r="C28" s="166">
        <f ca="1">C27+C26</f>
        <v>5788.4039355925916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6"/>
  <sheetViews>
    <sheetView showGridLines="0" topLeftCell="A9" zoomScale="90" zoomScaleNormal="90" workbookViewId="0">
      <selection activeCell="B46" sqref="B46"/>
    </sheetView>
  </sheetViews>
  <sheetFormatPr defaultColWidth="11.42578125" defaultRowHeight="12.75"/>
  <cols>
    <col min="1" max="1" width="34.140625" style="160" customWidth="1"/>
    <col min="2" max="2" width="24.85546875" style="160" customWidth="1"/>
    <col min="3" max="5" width="20.85546875" style="160" customWidth="1"/>
    <col min="6" max="6" width="30.85546875" style="160" customWidth="1"/>
    <col min="7" max="7" width="20.85546875" style="160" customWidth="1"/>
    <col min="8" max="8" width="32.140625" style="160" customWidth="1"/>
    <col min="9" max="9" width="26.140625" style="160" bestFit="1" customWidth="1"/>
    <col min="10" max="10" width="23" style="160" bestFit="1" customWidth="1"/>
    <col min="11" max="11" width="20.85546875" style="160" customWidth="1"/>
    <col min="12" max="16384" width="11.42578125" style="160"/>
  </cols>
  <sheetData>
    <row r="1" spans="1:11" ht="12.75" customHeight="1">
      <c r="A1" s="354" t="s">
        <v>290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</row>
    <row r="2" spans="1:11" ht="12.75" customHeight="1">
      <c r="A2" s="160" t="s">
        <v>291</v>
      </c>
      <c r="B2" s="160" t="s">
        <v>292</v>
      </c>
    </row>
    <row r="3" spans="1:11" ht="12.75" customHeight="1">
      <c r="A3" s="160" t="s">
        <v>293</v>
      </c>
      <c r="B3" s="160" t="s">
        <v>294</v>
      </c>
    </row>
    <row r="4" spans="1:11" ht="12.75" customHeight="1">
      <c r="A4" s="160" t="s">
        <v>295</v>
      </c>
      <c r="B4" s="356">
        <v>42304</v>
      </c>
    </row>
    <row r="7" spans="1:11" ht="12.75" customHeight="1">
      <c r="A7" s="354" t="s">
        <v>296</v>
      </c>
      <c r="B7" s="355"/>
      <c r="C7" s="355"/>
      <c r="D7" s="355"/>
      <c r="E7" s="355"/>
      <c r="F7" s="355"/>
      <c r="G7" s="355"/>
      <c r="H7" s="355"/>
      <c r="I7" s="355"/>
      <c r="J7" s="355"/>
      <c r="K7" s="355"/>
    </row>
    <row r="8" spans="1:11" ht="12.75" customHeight="1">
      <c r="A8" s="357" t="s">
        <v>297</v>
      </c>
      <c r="B8" s="358" t="s">
        <v>298</v>
      </c>
      <c r="C8" s="359" t="s">
        <v>299</v>
      </c>
      <c r="D8" s="360" t="s">
        <v>300</v>
      </c>
      <c r="E8" s="361" t="s">
        <v>301</v>
      </c>
      <c r="F8" s="358" t="s">
        <v>302</v>
      </c>
      <c r="G8" s="358" t="s">
        <v>303</v>
      </c>
      <c r="H8" s="358" t="s">
        <v>304</v>
      </c>
      <c r="I8" s="358" t="s">
        <v>305</v>
      </c>
      <c r="J8" s="358" t="s">
        <v>306</v>
      </c>
      <c r="K8" s="358" t="s">
        <v>307</v>
      </c>
    </row>
    <row r="9" spans="1:11" ht="12.75" customHeight="1">
      <c r="A9" s="160" t="s">
        <v>308</v>
      </c>
      <c r="B9" s="362">
        <v>2.2000000000000002</v>
      </c>
      <c r="C9" s="363">
        <v>11.3</v>
      </c>
      <c r="D9" s="364">
        <f>B9/C9</f>
        <v>0.19469026548672566</v>
      </c>
      <c r="E9" s="365">
        <v>15</v>
      </c>
      <c r="F9" s="362">
        <v>20.7</v>
      </c>
      <c r="G9" s="362">
        <v>5.3</v>
      </c>
      <c r="H9" s="366">
        <v>2.17</v>
      </c>
      <c r="I9" s="366">
        <v>8.2899999999999991</v>
      </c>
      <c r="J9" s="367">
        <f>H9/I9</f>
        <v>0.2617611580217129</v>
      </c>
      <c r="K9" s="366">
        <v>11.33</v>
      </c>
    </row>
    <row r="10" spans="1:11" ht="12.75" customHeight="1">
      <c r="A10" s="160" t="s">
        <v>309</v>
      </c>
      <c r="B10" s="362">
        <v>3.2</v>
      </c>
      <c r="C10" s="363">
        <v>15.9</v>
      </c>
      <c r="D10" s="364">
        <f>B10/C10</f>
        <v>0.20125786163522014</v>
      </c>
      <c r="E10" s="365">
        <v>22.4</v>
      </c>
      <c r="F10" s="362">
        <v>31.6</v>
      </c>
      <c r="G10" s="362" t="s">
        <v>310</v>
      </c>
      <c r="H10" s="366">
        <v>2.61</v>
      </c>
      <c r="I10" s="366">
        <v>10.199999999999999</v>
      </c>
      <c r="J10" s="367">
        <f>H10/I10</f>
        <v>0.25588235294117645</v>
      </c>
      <c r="K10" s="366">
        <v>13.72</v>
      </c>
    </row>
    <row r="11" spans="1:11" ht="12.75" customHeight="1">
      <c r="A11" s="160" t="s">
        <v>311</v>
      </c>
      <c r="B11" s="362">
        <v>1.7</v>
      </c>
      <c r="C11" s="363">
        <v>5.8</v>
      </c>
      <c r="D11" s="364">
        <f>B11/C11</f>
        <v>0.29310344827586204</v>
      </c>
      <c r="E11" s="365">
        <v>6.9</v>
      </c>
      <c r="F11" s="362">
        <v>11.3</v>
      </c>
      <c r="G11" s="362">
        <v>2.7</v>
      </c>
      <c r="H11" s="366">
        <v>1.75</v>
      </c>
      <c r="I11" s="366">
        <v>6.29</v>
      </c>
      <c r="J11" s="367">
        <f>H11/I11</f>
        <v>0.27821939586645467</v>
      </c>
      <c r="K11" s="366">
        <v>12.8</v>
      </c>
    </row>
    <row r="12" spans="1:11" ht="12.75" customHeight="1">
      <c r="A12" s="160" t="s">
        <v>312</v>
      </c>
      <c r="B12" s="362">
        <v>1.9</v>
      </c>
      <c r="C12" s="363">
        <v>11.6</v>
      </c>
      <c r="D12" s="364">
        <f>B12/C12</f>
        <v>0.16379310344827586</v>
      </c>
      <c r="E12" s="365">
        <v>13.4</v>
      </c>
      <c r="F12" s="362">
        <v>16.399999999999999</v>
      </c>
      <c r="G12" s="362" t="s">
        <v>310</v>
      </c>
      <c r="H12" s="366">
        <v>1.83</v>
      </c>
      <c r="I12" s="366">
        <v>10.87</v>
      </c>
      <c r="J12" s="367">
        <f>H12/I12</f>
        <v>0.16835326586936525</v>
      </c>
      <c r="K12" s="366">
        <v>16.07</v>
      </c>
    </row>
    <row r="13" spans="1:11" ht="12.75" customHeight="1">
      <c r="A13" s="160" t="s">
        <v>313</v>
      </c>
      <c r="B13" s="362">
        <v>1.8</v>
      </c>
      <c r="C13" s="363">
        <v>8</v>
      </c>
      <c r="D13" s="364">
        <f>B13/C13</f>
        <v>0.22500000000000001</v>
      </c>
      <c r="E13" s="365">
        <v>10.3</v>
      </c>
      <c r="F13" s="362">
        <v>15.5</v>
      </c>
      <c r="G13" s="362" t="s">
        <v>310</v>
      </c>
      <c r="H13" s="366">
        <v>1.73</v>
      </c>
      <c r="I13" s="366">
        <v>7.67</v>
      </c>
      <c r="J13" s="367">
        <f>H13/I13</f>
        <v>0.2255541069100391</v>
      </c>
      <c r="K13" s="366">
        <v>9.67</v>
      </c>
    </row>
    <row r="14" spans="1:11" ht="12.75" customHeight="1">
      <c r="A14" s="160" t="s">
        <v>314</v>
      </c>
      <c r="B14" s="362">
        <v>2.9</v>
      </c>
      <c r="C14" s="363">
        <v>19.3</v>
      </c>
      <c r="D14" s="364">
        <f>B14/C14</f>
        <v>0.15025906735751293</v>
      </c>
      <c r="E14" s="365">
        <v>27.1</v>
      </c>
      <c r="F14" s="362">
        <v>41.8</v>
      </c>
      <c r="G14" s="362">
        <v>8</v>
      </c>
      <c r="H14" s="366">
        <v>2.7</v>
      </c>
      <c r="I14" s="366">
        <v>12.19</v>
      </c>
      <c r="J14" s="367">
        <f>H14/I14</f>
        <v>0.22149302707137</v>
      </c>
      <c r="K14" s="366">
        <v>20.69</v>
      </c>
    </row>
    <row r="15" spans="1:11" ht="12.75" customHeight="1">
      <c r="A15" s="160" t="s">
        <v>315</v>
      </c>
      <c r="B15" s="362">
        <v>3</v>
      </c>
      <c r="C15" s="363">
        <v>14.5</v>
      </c>
      <c r="D15" s="364">
        <f>B15/C15</f>
        <v>0.20689655172413793</v>
      </c>
      <c r="E15" s="365">
        <v>20.6</v>
      </c>
      <c r="F15" s="362">
        <v>29.4</v>
      </c>
      <c r="G15" s="362" t="s">
        <v>310</v>
      </c>
      <c r="H15" s="366">
        <v>2.97</v>
      </c>
      <c r="I15" s="366">
        <v>13.56</v>
      </c>
      <c r="J15" s="367">
        <f>H15/I15</f>
        <v>0.21902654867256638</v>
      </c>
      <c r="K15" s="366">
        <v>24.58</v>
      </c>
    </row>
    <row r="16" spans="1:11" ht="12.75" customHeight="1">
      <c r="A16" s="160" t="s">
        <v>316</v>
      </c>
      <c r="B16" s="362">
        <v>0.7</v>
      </c>
      <c r="C16" s="363">
        <v>6.4</v>
      </c>
      <c r="D16" s="364">
        <f>B16/C16</f>
        <v>0.10937499999999999</v>
      </c>
      <c r="E16" s="365">
        <v>8.8000000000000007</v>
      </c>
      <c r="F16" s="362">
        <v>15.3</v>
      </c>
      <c r="G16" s="362">
        <v>2</v>
      </c>
      <c r="H16" s="366">
        <v>0.71</v>
      </c>
      <c r="I16" s="366">
        <v>5.73</v>
      </c>
      <c r="J16" s="367">
        <f>H16/I16</f>
        <v>0.12390924956369981</v>
      </c>
      <c r="K16" s="366">
        <v>6.32</v>
      </c>
    </row>
    <row r="17" spans="1:11" ht="12.75" customHeight="1">
      <c r="A17" s="160" t="s">
        <v>317</v>
      </c>
      <c r="B17" s="362">
        <v>2.9</v>
      </c>
      <c r="C17" s="363">
        <v>14.8</v>
      </c>
      <c r="D17" s="364">
        <f>B17/C17</f>
        <v>0.19594594594594594</v>
      </c>
      <c r="E17" s="365">
        <v>18.899999999999999</v>
      </c>
      <c r="F17" s="362">
        <v>52.5</v>
      </c>
      <c r="G17" s="362" t="s">
        <v>310</v>
      </c>
      <c r="H17" s="366">
        <v>2.82</v>
      </c>
      <c r="I17" s="366">
        <v>11.03</v>
      </c>
      <c r="J17" s="367">
        <f>H17/I17</f>
        <v>0.25566636446056212</v>
      </c>
      <c r="K17" s="366">
        <v>18.989999999999998</v>
      </c>
    </row>
    <row r="18" spans="1:11" ht="12.75" customHeight="1">
      <c r="A18" s="160" t="s">
        <v>318</v>
      </c>
      <c r="B18" s="362">
        <v>0.7</v>
      </c>
      <c r="C18" s="363">
        <v>7.2</v>
      </c>
      <c r="D18" s="364">
        <f>B18/C18</f>
        <v>9.722222222222221E-2</v>
      </c>
      <c r="E18" s="365">
        <v>18.8</v>
      </c>
      <c r="F18" s="362">
        <v>34.4</v>
      </c>
      <c r="G18" s="362" t="s">
        <v>310</v>
      </c>
      <c r="H18" s="366">
        <v>0.71</v>
      </c>
      <c r="I18" s="366">
        <v>7</v>
      </c>
      <c r="J18" s="367">
        <f>H18/I18</f>
        <v>0.10142857142857142</v>
      </c>
      <c r="K18" s="366">
        <v>23.98</v>
      </c>
    </row>
    <row r="19" spans="1:11" ht="12.75" customHeight="1">
      <c r="B19" s="362"/>
      <c r="C19" s="363"/>
      <c r="D19" s="368"/>
      <c r="E19" s="365"/>
      <c r="F19" s="362"/>
      <c r="G19" s="362"/>
      <c r="H19" s="366"/>
      <c r="I19" s="366"/>
      <c r="J19" s="367"/>
      <c r="K19" s="366"/>
    </row>
    <row r="20" spans="1:11" ht="12.75" customHeight="1">
      <c r="B20" s="362"/>
      <c r="C20" s="363"/>
      <c r="D20" s="368"/>
      <c r="E20" s="365"/>
      <c r="F20" s="362"/>
      <c r="G20" s="362"/>
      <c r="H20" s="366"/>
      <c r="I20" s="366"/>
      <c r="J20" s="367"/>
      <c r="K20" s="366"/>
    </row>
    <row r="21" spans="1:11" ht="12.75" customHeight="1">
      <c r="A21" s="160" t="s">
        <v>319</v>
      </c>
      <c r="B21" s="362">
        <v>1.7</v>
      </c>
      <c r="C21" s="363">
        <v>12.2</v>
      </c>
      <c r="D21" s="364">
        <f>B21/C21</f>
        <v>0.13934426229508198</v>
      </c>
      <c r="E21" s="365">
        <v>21.3</v>
      </c>
      <c r="F21" s="362">
        <v>33.799999999999997</v>
      </c>
      <c r="G21" s="362" t="s">
        <v>310</v>
      </c>
      <c r="H21" s="366">
        <v>1.81</v>
      </c>
      <c r="I21" s="366">
        <v>8.6199999999999992</v>
      </c>
      <c r="J21" s="367">
        <f>H21/I21</f>
        <v>0.20997679814385153</v>
      </c>
      <c r="K21" s="366">
        <v>14.54</v>
      </c>
    </row>
    <row r="22" spans="1:11" ht="12.75" customHeight="1">
      <c r="B22" s="362"/>
      <c r="C22" s="363"/>
      <c r="D22" s="368"/>
      <c r="E22" s="365"/>
      <c r="F22" s="362"/>
      <c r="G22" s="362"/>
      <c r="H22" s="366"/>
      <c r="I22" s="366"/>
      <c r="J22" s="367"/>
      <c r="K22" s="366"/>
    </row>
    <row r="23" spans="1:11" ht="12.75" customHeight="1">
      <c r="A23" s="357" t="s">
        <v>320</v>
      </c>
      <c r="B23" s="369"/>
      <c r="C23" s="370"/>
      <c r="D23" s="371"/>
      <c r="E23" s="372"/>
      <c r="F23" s="369"/>
      <c r="G23" s="369"/>
      <c r="H23" s="373"/>
      <c r="I23" s="373"/>
      <c r="J23" s="374"/>
      <c r="K23" s="373"/>
    </row>
    <row r="24" spans="1:11" ht="12.75" customHeight="1">
      <c r="A24" s="160" t="s">
        <v>321</v>
      </c>
      <c r="B24" s="362">
        <f>MAX(B9:B18)</f>
        <v>3.2</v>
      </c>
      <c r="C24" s="363">
        <f>MAX(C9:C18)</f>
        <v>19.3</v>
      </c>
      <c r="D24" s="364">
        <f>MAX(D9:D18)</f>
        <v>0.29310344827586204</v>
      </c>
      <c r="E24" s="365">
        <f>MAX(E9:E18)</f>
        <v>27.1</v>
      </c>
      <c r="F24" s="362">
        <f>MAX(F9:F18)</f>
        <v>52.5</v>
      </c>
      <c r="G24" s="362">
        <f>MAX(G9:G18)</f>
        <v>8</v>
      </c>
      <c r="H24" s="366">
        <f>MAX(H9:H18)</f>
        <v>2.97</v>
      </c>
      <c r="I24" s="366">
        <f>MAX(I9:I18)</f>
        <v>13.56</v>
      </c>
      <c r="J24" s="367">
        <f>MAX(J9:J18)</f>
        <v>0.27821939586645467</v>
      </c>
      <c r="K24" s="366">
        <f>MAX(K9:K18)</f>
        <v>24.58</v>
      </c>
    </row>
    <row r="25" spans="1:11" ht="12.75" customHeight="1">
      <c r="A25" s="160" t="s">
        <v>322</v>
      </c>
      <c r="B25" s="362">
        <f>MIN(B9:B18)</f>
        <v>0.7</v>
      </c>
      <c r="C25" s="363">
        <f>MIN(C9:C18)</f>
        <v>5.8</v>
      </c>
      <c r="D25" s="364">
        <f>MIN(D9:D18)</f>
        <v>9.722222222222221E-2</v>
      </c>
      <c r="E25" s="365">
        <f>MIN(E9:E18)</f>
        <v>6.9</v>
      </c>
      <c r="F25" s="362">
        <f>MIN(F9:F18)</f>
        <v>11.3</v>
      </c>
      <c r="G25" s="362">
        <f>MIN(G9:G18)</f>
        <v>2</v>
      </c>
      <c r="H25" s="366">
        <f>MIN(H9:H18)</f>
        <v>0.71</v>
      </c>
      <c r="I25" s="366">
        <f>MIN(I9:I18)</f>
        <v>5.73</v>
      </c>
      <c r="J25" s="367">
        <f>MIN(J9:J18)</f>
        <v>0.10142857142857142</v>
      </c>
      <c r="K25" s="366">
        <f>MIN(K9:K18)</f>
        <v>6.32</v>
      </c>
    </row>
    <row r="26" spans="1:11" ht="12.75" customHeight="1">
      <c r="A26" s="160" t="s">
        <v>323</v>
      </c>
      <c r="B26" s="362">
        <f>AVERAGE(B9:B18)</f>
        <v>2.1</v>
      </c>
      <c r="C26" s="363">
        <f>AVERAGE(C9:C18)</f>
        <v>11.48</v>
      </c>
      <c r="D26" s="375">
        <f>AVERAGE(D9:D18)</f>
        <v>0.18375434660959028</v>
      </c>
      <c r="E26" s="365">
        <f>AVERAGE(E9:E18)</f>
        <v>16.22</v>
      </c>
      <c r="F26" s="362">
        <f>AVERAGE(F9:F18)</f>
        <v>26.890000000000004</v>
      </c>
      <c r="G26" s="362">
        <f>AVERAGE(G9:G18)</f>
        <v>4.5</v>
      </c>
      <c r="H26" s="366">
        <f>AVERAGE(H9:H18)</f>
        <v>2</v>
      </c>
      <c r="I26" s="366">
        <f>AVERAGE(I9:I18)</f>
        <v>9.2829999999999995</v>
      </c>
      <c r="J26" s="367">
        <f>AVERAGE(J9:J18)</f>
        <v>0.21112940408055181</v>
      </c>
      <c r="K26" s="366">
        <f>AVERAGE(K9:K18)</f>
        <v>15.815000000000001</v>
      </c>
    </row>
    <row r="27" spans="1:11" ht="12.75" customHeight="1">
      <c r="A27" s="160" t="s">
        <v>324</v>
      </c>
      <c r="B27" s="362">
        <f>MEDIAN(B9:B18)</f>
        <v>2.0499999999999998</v>
      </c>
      <c r="C27" s="363">
        <f>MEDIAN(C9:C18)</f>
        <v>11.45</v>
      </c>
      <c r="D27" s="364">
        <f>MEDIAN(D9:D18)</f>
        <v>0.19531810571633579</v>
      </c>
      <c r="E27" s="365">
        <f>MEDIAN(E9:E18)</f>
        <v>16.899999999999999</v>
      </c>
      <c r="F27" s="362">
        <f>MEDIAN(F9:F18)</f>
        <v>25.049999999999997</v>
      </c>
      <c r="G27" s="362">
        <f>MEDIAN(G9:G18)</f>
        <v>4</v>
      </c>
      <c r="H27" s="366">
        <f>MEDIAN(H9:H18)</f>
        <v>2</v>
      </c>
      <c r="I27" s="366">
        <f>MEDIAN(I9:I18)</f>
        <v>9.2449999999999992</v>
      </c>
      <c r="J27" s="367">
        <f>MEDIAN(J9:J18)</f>
        <v>0.22352356699070455</v>
      </c>
      <c r="K27" s="366">
        <f>MEDIAN(K9:K18)</f>
        <v>14.895</v>
      </c>
    </row>
    <row r="28" spans="1:11" ht="12.75" customHeight="1">
      <c r="A28" s="160" t="s">
        <v>325</v>
      </c>
      <c r="B28" s="362">
        <f>QUARTILE(B9:B18,3)</f>
        <v>2.9</v>
      </c>
      <c r="C28" s="363">
        <f>QUARTILE(C9:C18,3)</f>
        <v>14.725000000000001</v>
      </c>
      <c r="D28" s="364">
        <f>QUARTILE(D9:D18,3)</f>
        <v>0.20548687920190847</v>
      </c>
      <c r="E28" s="365">
        <f>QUARTILE(E9:E18,3)</f>
        <v>20.175000000000001</v>
      </c>
      <c r="F28" s="362">
        <f>QUARTILE(F9:F18,3)</f>
        <v>33.700000000000003</v>
      </c>
      <c r="G28" s="362">
        <f>QUARTILE(G9:G18,3)</f>
        <v>5.9749999999999996</v>
      </c>
      <c r="H28" s="366">
        <f>QUARTILE(H9:H18,3)</f>
        <v>2.6775000000000002</v>
      </c>
      <c r="I28" s="376">
        <f>QUARTILE(I9:I18,3)</f>
        <v>10.989999999999998</v>
      </c>
      <c r="J28" s="377">
        <f>QUARTILE(J9:J18,3)</f>
        <v>0.25582835582102287</v>
      </c>
      <c r="K28" s="366">
        <f>QUARTILE(K9:K18,3)</f>
        <v>20.265000000000001</v>
      </c>
    </row>
    <row r="29" spans="1:11" ht="12.75" customHeight="1">
      <c r="A29" s="160" t="s">
        <v>326</v>
      </c>
      <c r="B29" s="362">
        <f>QUARTILE(B9:B18,1)</f>
        <v>1.7250000000000001</v>
      </c>
      <c r="C29" s="378">
        <f>QUARTILE(C9:C18,1)</f>
        <v>7.4</v>
      </c>
      <c r="D29" s="364">
        <f>QUARTILE(D9:D18,1)</f>
        <v>0.15364257638020368</v>
      </c>
      <c r="E29" s="365">
        <f>QUARTILE(E9:E18,1)</f>
        <v>11.075000000000001</v>
      </c>
      <c r="F29" s="362">
        <f>QUARTILE(F9:F18,1)</f>
        <v>15.725</v>
      </c>
      <c r="G29" s="362">
        <f>QUARTILE(G9:G18,1)</f>
        <v>2.5250000000000004</v>
      </c>
      <c r="H29" s="366">
        <f>QUARTILE(H9:H18,1)</f>
        <v>1.7349999999999999</v>
      </c>
      <c r="I29" s="366">
        <f>QUARTILE(I9:I18,1)</f>
        <v>7.1675000000000004</v>
      </c>
      <c r="J29" s="367">
        <f>QUARTILE(J9:J18,1)</f>
        <v>0.18102158657016554</v>
      </c>
      <c r="K29" s="366">
        <f>QUARTILE(K9:K18,1)</f>
        <v>11.6975</v>
      </c>
    </row>
    <row r="32" spans="1:11" ht="12.75" customHeight="1">
      <c r="A32" s="379" t="s">
        <v>327</v>
      </c>
      <c r="B32" s="380"/>
      <c r="C32" s="380"/>
      <c r="D32" s="381"/>
    </row>
    <row r="33" spans="1:4" ht="12.75" customHeight="1">
      <c r="A33" s="382"/>
      <c r="B33" s="383">
        <v>2015</v>
      </c>
      <c r="C33" s="383" t="s">
        <v>328</v>
      </c>
      <c r="D33" s="384" t="s">
        <v>329</v>
      </c>
    </row>
    <row r="34" spans="1:4" ht="12.75" customHeight="1">
      <c r="A34" s="382" t="s">
        <v>13</v>
      </c>
      <c r="B34" s="385">
        <v>6508.5</v>
      </c>
      <c r="C34" s="385">
        <f ca="1">'Ex 1 Income Statement'!F5</f>
        <v>6098.4361651200006</v>
      </c>
      <c r="D34" s="386">
        <f ca="1">'Ex 1 Income Statement'!G5</f>
        <v>6710.8831695360004</v>
      </c>
    </row>
    <row r="35" spans="1:4" ht="12.75" customHeight="1">
      <c r="A35" s="387" t="s">
        <v>73</v>
      </c>
      <c r="B35" s="388">
        <v>471.7</v>
      </c>
      <c r="C35" s="388">
        <f ca="1">'Ex 1 Income Statement'!F24</f>
        <v>593.71165647108171</v>
      </c>
      <c r="D35" s="389">
        <f ca="1">'Ex 1 Income Statement'!G24</f>
        <v>660.95065756164149</v>
      </c>
    </row>
    <row r="36" spans="1:4" ht="12.75" customHeight="1">
      <c r="A36" s="390" t="s">
        <v>330</v>
      </c>
      <c r="B36" s="391">
        <v>494.6</v>
      </c>
      <c r="C36" s="391">
        <f ca="1">'Ex 1 Income Statement'!F24-'Ex 1 Income Statement'!F10</f>
        <v>624.20383729668174</v>
      </c>
      <c r="D36" s="392">
        <f ca="1">'Ex 1 Income Statement'!G24-'Ex 1 Income Statement'!G10</f>
        <v>694.50507340932154</v>
      </c>
    </row>
    <row r="37" spans="1:4" ht="12.75" customHeight="1">
      <c r="B37" s="385"/>
      <c r="C37" s="385"/>
    </row>
    <row r="39" spans="1:4" ht="12.75" customHeight="1">
      <c r="A39" s="393" t="s">
        <v>300</v>
      </c>
      <c r="B39" s="394">
        <f>B35/B$34</f>
        <v>7.2474456479987709E-2</v>
      </c>
      <c r="C39" s="394">
        <f ca="1">C35/C$34</f>
        <v>9.7354738230567187E-2</v>
      </c>
      <c r="D39" s="395">
        <f ca="1">D35/D$34</f>
        <v>9.8489370305539156E-2</v>
      </c>
    </row>
    <row r="40" spans="1:4" ht="12.75" customHeight="1">
      <c r="A40" s="396" t="s">
        <v>331</v>
      </c>
      <c r="B40" s="397">
        <f>B36/B$34</f>
        <v>7.59929323192748E-2</v>
      </c>
      <c r="C40" s="397">
        <f ca="1">C36/C$34</f>
        <v>0.10235473823056719</v>
      </c>
      <c r="D40" s="398">
        <f ca="1">D36/D$34</f>
        <v>0.10348937030553917</v>
      </c>
    </row>
    <row r="43" spans="1:4" ht="12.75" customHeight="1">
      <c r="A43" s="459" t="s">
        <v>332</v>
      </c>
      <c r="B43" s="461"/>
      <c r="C43" s="461"/>
      <c r="D43" s="462"/>
    </row>
    <row r="44" spans="1:4" ht="12.75" customHeight="1">
      <c r="A44" s="463"/>
      <c r="B44" s="383">
        <v>2015</v>
      </c>
      <c r="C44" s="383" t="s">
        <v>328</v>
      </c>
      <c r="D44" s="464" t="s">
        <v>329</v>
      </c>
    </row>
    <row r="45" spans="1:4" ht="12.75" customHeight="1">
      <c r="A45" s="465" t="s">
        <v>333</v>
      </c>
      <c r="B45" s="466">
        <f>$C$27*B36</f>
        <v>5663.17</v>
      </c>
      <c r="C45" s="466">
        <f ca="1">$I$27*C36</f>
        <v>5770.7644758078222</v>
      </c>
      <c r="D45" s="467">
        <f ca="1">$I$27*D36</f>
        <v>6420.6994036691767</v>
      </c>
    </row>
    <row r="46" spans="1:4" ht="12.75" customHeight="1">
      <c r="A46" s="468" t="s">
        <v>334</v>
      </c>
      <c r="B46" s="469">
        <f>$C$28*B36</f>
        <v>7282.9850000000015</v>
      </c>
      <c r="C46" s="470">
        <f ca="1">$I$28*C36</f>
        <v>6860.0001718905314</v>
      </c>
      <c r="D46" s="471">
        <f ca="1">$I$28*D36</f>
        <v>7632.610756768443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F60"/>
  <sheetViews>
    <sheetView showGridLines="0" tabSelected="1" topLeftCell="A2" zoomScaleNormal="100" workbookViewId="0">
      <selection activeCell="D5" sqref="D5"/>
    </sheetView>
  </sheetViews>
  <sheetFormatPr defaultColWidth="8.85546875" defaultRowHeight="12.75"/>
  <cols>
    <col min="1" max="1" width="1.5703125" style="160" customWidth="1"/>
    <col min="2" max="2" width="53.5703125" style="160" customWidth="1"/>
    <col min="3" max="5" width="12.5703125" style="160" customWidth="1"/>
    <col min="6" max="16384" width="8.85546875" style="160"/>
  </cols>
  <sheetData>
    <row r="1" spans="2:6" ht="13.5" customHeight="1">
      <c r="B1" s="399" t="s">
        <v>335</v>
      </c>
      <c r="C1" s="399"/>
      <c r="D1" s="187"/>
      <c r="E1" s="187"/>
    </row>
    <row r="2" spans="2:6" ht="13.5" customHeight="1">
      <c r="B2" s="399" t="s">
        <v>336</v>
      </c>
      <c r="C2" s="187"/>
      <c r="D2" s="187"/>
      <c r="E2" s="187"/>
    </row>
    <row r="3" spans="2:6" ht="13.5" customHeight="1">
      <c r="B3" s="399"/>
      <c r="C3" s="400"/>
      <c r="D3" s="400"/>
      <c r="E3" s="400"/>
    </row>
    <row r="4" spans="2:6" ht="13.5" customHeight="1">
      <c r="B4" s="399" t="s">
        <v>337</v>
      </c>
      <c r="C4" s="400">
        <v>3</v>
      </c>
      <c r="D4" s="400">
        <v>1</v>
      </c>
      <c r="E4" s="400">
        <v>2</v>
      </c>
    </row>
    <row r="5" spans="2:6" ht="13.5" customHeight="1">
      <c r="B5" s="401"/>
      <c r="C5" s="402" t="s">
        <v>322</v>
      </c>
      <c r="D5" s="402" t="s">
        <v>5</v>
      </c>
      <c r="E5" s="402" t="s">
        <v>321</v>
      </c>
    </row>
    <row r="6" spans="2:6" ht="13.5" customHeight="1">
      <c r="B6" s="403" t="s">
        <v>338</v>
      </c>
      <c r="C6" s="404">
        <f ca="1">IF(Feeder!$B$4=3,'Ex 1 Income Statement'!F24,C6)</f>
        <v>470.91240760681904</v>
      </c>
      <c r="D6" s="404">
        <f ca="1">IF(Feeder!$B$4=1,'Ex 1 Income Statement'!F24,D6)</f>
        <v>593.71165647108171</v>
      </c>
      <c r="E6" s="404">
        <f ca="1">IF(Feeder!$B$4=1,'Ex 1 Income Statement'!G24,E6)</f>
        <v>660.95065756164149</v>
      </c>
    </row>
    <row r="7" spans="2:6" ht="13.5" customHeight="1">
      <c r="B7" s="405" t="s">
        <v>339</v>
      </c>
      <c r="C7" s="406">
        <f>Comps!I29</f>
        <v>7.1675000000000004</v>
      </c>
      <c r="D7" s="406">
        <f>Comps!I27</f>
        <v>9.2449999999999992</v>
      </c>
      <c r="E7" s="406">
        <f>Comps!I28</f>
        <v>10.989999999999998</v>
      </c>
    </row>
    <row r="8" spans="2:6" ht="13.5" customHeight="1">
      <c r="B8" s="187" t="s">
        <v>340</v>
      </c>
      <c r="C8" s="407">
        <f ca="1">C6*C7</f>
        <v>3375.2646815218759</v>
      </c>
      <c r="D8" s="407">
        <f t="shared" ref="D8:E8" ca="1" si="0">D6*D7</f>
        <v>5488.8642640751495</v>
      </c>
      <c r="E8" s="407">
        <f t="shared" ca="1" si="0"/>
        <v>7263.8477266024393</v>
      </c>
    </row>
    <row r="9" spans="2:6" ht="13.5" customHeight="1">
      <c r="B9" s="187" t="s">
        <v>341</v>
      </c>
      <c r="C9" s="408">
        <f ca="1">IF(Feeder!$B$4=3,'Ex 2 Balance Sheet'!E6,C9)</f>
        <v>0</v>
      </c>
      <c r="D9" s="408">
        <f ca="1">IF(Feeder!$B$4=1,'Ex 2 Balance Sheet'!E6,D9)</f>
        <v>191</v>
      </c>
      <c r="E9" s="408">
        <f ca="1">IF(Feeder!$B$4=2,'Ex 2 Balance Sheet'!E6,E9)</f>
        <v>0</v>
      </c>
    </row>
    <row r="10" spans="2:6" s="134" customFormat="1" ht="13.5" customHeight="1">
      <c r="B10" s="399" t="s">
        <v>342</v>
      </c>
      <c r="C10" s="407">
        <f ca="1">SUM(C8:C9)</f>
        <v>3375.2646815218759</v>
      </c>
      <c r="D10" s="407">
        <f t="shared" ref="D10:E10" ca="1" si="1">SUM(D8:D9)</f>
        <v>5679.8642640751495</v>
      </c>
      <c r="E10" s="407">
        <f t="shared" ca="1" si="1"/>
        <v>7263.8477266024393</v>
      </c>
    </row>
    <row r="11" spans="2:6" s="134" customFormat="1" ht="13.5" customHeight="1">
      <c r="B11" s="399"/>
      <c r="C11" s="478"/>
      <c r="D11" s="399"/>
      <c r="E11" s="399"/>
    </row>
    <row r="12" spans="2:6" s="134" customFormat="1" ht="13.5" customHeight="1">
      <c r="B12" s="409" t="s">
        <v>343</v>
      </c>
      <c r="C12" s="406">
        <f ca="1">'Pro-Forma Cap Table'!$G$13/'Waterfall -- Template'!C6</f>
        <v>7.3967046604307001</v>
      </c>
      <c r="D12" s="406">
        <f ca="1">'Pro-Forma Cap Table'!$G$13/'Waterfall -- Template'!D6</f>
        <v>5.8668209762016996</v>
      </c>
      <c r="E12" s="406">
        <f ca="1">'Pro-Forma Cap Table'!$G$13/'Waterfall -- Template'!E6</f>
        <v>5.2699849227022675</v>
      </c>
    </row>
    <row r="13" spans="2:6" s="134" customFormat="1" ht="13.5" customHeight="1">
      <c r="B13" s="399" t="s">
        <v>344</v>
      </c>
      <c r="C13" s="479">
        <f ca="1">'Pro-Forma Cap Table'!C106</f>
        <v>240.53243498382392</v>
      </c>
      <c r="D13" s="407">
        <f ca="1">'Pro-Forma Cap Table'!D106</f>
        <v>262.50436203753122</v>
      </c>
      <c r="E13" s="407">
        <f ca="1">'Pro-Forma Cap Table'!E106</f>
        <v>276.4946460260096</v>
      </c>
    </row>
    <row r="14" spans="2:6" s="134" customFormat="1" ht="13.5" customHeight="1">
      <c r="B14" s="399" t="s">
        <v>345</v>
      </c>
      <c r="C14" s="480">
        <f ca="1">'Pro-Forma Cap Table'!$G$13/'Waterfall -- Template'!C6</f>
        <v>7.3967046604307001</v>
      </c>
      <c r="D14" s="480">
        <f ca="1">'Pro-Forma Cap Table'!$G$13/'Waterfall -- Template'!D6</f>
        <v>5.8668209762016996</v>
      </c>
      <c r="E14" s="480">
        <f ca="1">'Pro-Forma Cap Table'!$G$13/'Waterfall -- Template'!E6</f>
        <v>5.2699849227022675</v>
      </c>
      <c r="F14" s="410" t="s">
        <v>346</v>
      </c>
    </row>
    <row r="15" spans="2:6" s="134" customFormat="1" ht="13.5" customHeight="1">
      <c r="B15" s="399" t="s">
        <v>347</v>
      </c>
      <c r="C15" s="480">
        <f ca="1">C6/C13</f>
        <v>1.9577917117019517</v>
      </c>
      <c r="D15" s="480">
        <f t="shared" ref="D15:E15" ca="1" si="2">D6/D13</f>
        <v>2.2617211076522854</v>
      </c>
      <c r="E15" s="480">
        <f t="shared" ca="1" si="2"/>
        <v>2.3904645788311809</v>
      </c>
    </row>
    <row r="16" spans="2:6" s="134" customFormat="1" ht="13.5" customHeight="1">
      <c r="B16" s="399" t="s">
        <v>348</v>
      </c>
      <c r="C16" s="407">
        <f ca="1">C6-C13-Feeder!I92</f>
        <v>-44.620027377004874</v>
      </c>
      <c r="D16" s="407">
        <f ca="1">D6-D13-Feeder!I90</f>
        <v>81.207294433550487</v>
      </c>
      <c r="E16" s="407">
        <f ca="1">E6-E13-Feeder!I91</f>
        <v>159.45601153563189</v>
      </c>
    </row>
    <row r="17" spans="2:6" ht="13.5" customHeight="1">
      <c r="B17" s="187"/>
      <c r="C17" s="187"/>
      <c r="D17" s="187"/>
      <c r="E17" s="187"/>
    </row>
    <row r="18" spans="2:6" ht="13.5" customHeight="1">
      <c r="B18" s="409" t="s">
        <v>349</v>
      </c>
      <c r="C18" s="187"/>
      <c r="D18" s="187"/>
      <c r="E18" s="187"/>
    </row>
    <row r="19" spans="2:6" ht="13.5" customHeight="1">
      <c r="B19" s="187" t="s">
        <v>350</v>
      </c>
      <c r="C19" s="481">
        <f ca="1">MAX(C10-'Pro-Forma Cap Table'!$G$13,0)</f>
        <v>0</v>
      </c>
      <c r="D19" s="481">
        <f ca="1">D10-'Pro-Forma Cap Table'!$G$13</f>
        <v>2196.6642640751497</v>
      </c>
      <c r="E19" s="481">
        <f ca="1">E10-'Pro-Forma Cap Table'!$G$13</f>
        <v>3780.6477266024394</v>
      </c>
    </row>
    <row r="20" spans="2:6" ht="13.5" customHeight="1">
      <c r="B20" s="187" t="s">
        <v>351</v>
      </c>
      <c r="C20" s="407">
        <f>650</f>
        <v>650</v>
      </c>
      <c r="D20" s="407">
        <f>650</f>
        <v>650</v>
      </c>
      <c r="E20" s="407">
        <f>650</f>
        <v>650</v>
      </c>
      <c r="F20" s="410" t="s">
        <v>352</v>
      </c>
    </row>
    <row r="21" spans="2:6" ht="13.5" customHeight="1">
      <c r="B21" s="187" t="s">
        <v>353</v>
      </c>
      <c r="C21" s="477">
        <f>0</f>
        <v>0</v>
      </c>
      <c r="D21" s="477">
        <f ca="1">D20/D19</f>
        <v>0.29590320679872589</v>
      </c>
      <c r="E21" s="477">
        <f ca="1">E20/E19</f>
        <v>0.17192821098519445</v>
      </c>
    </row>
    <row r="22" spans="2:6" ht="13.5" customHeight="1">
      <c r="B22" s="187" t="s">
        <v>354</v>
      </c>
      <c r="C22" s="407">
        <f>0</f>
        <v>0</v>
      </c>
      <c r="D22" s="407">
        <f ca="1">D19-D20</f>
        <v>1546.6642640751497</v>
      </c>
      <c r="E22" s="407">
        <f ca="1">E19-E20</f>
        <v>3130.6477266024394</v>
      </c>
      <c r="F22" s="410" t="s">
        <v>355</v>
      </c>
    </row>
    <row r="23" spans="2:6" ht="13.5" customHeight="1">
      <c r="B23" s="187" t="s">
        <v>356</v>
      </c>
      <c r="C23" s="477">
        <f>0%</f>
        <v>0</v>
      </c>
      <c r="D23" s="477">
        <f ca="1">D22/D19</f>
        <v>0.70409679320127416</v>
      </c>
      <c r="E23" s="477">
        <f ca="1">E22/E19</f>
        <v>0.82807178901480549</v>
      </c>
      <c r="F23" s="410" t="s">
        <v>355</v>
      </c>
    </row>
    <row r="24" spans="2:6" ht="13.5" customHeight="1">
      <c r="B24" s="187"/>
      <c r="C24" s="187"/>
      <c r="D24" s="187"/>
      <c r="E24" s="187"/>
    </row>
    <row r="25" spans="2:6" ht="13.5" customHeight="1">
      <c r="B25" s="411" t="s">
        <v>357</v>
      </c>
      <c r="C25" s="412"/>
      <c r="D25" s="412"/>
      <c r="E25" s="412"/>
    </row>
    <row r="26" spans="2:6" ht="13.5" customHeight="1">
      <c r="B26" s="187" t="s">
        <v>358</v>
      </c>
      <c r="C26" s="407">
        <f>'Pro-Forma Cap Table'!G10</f>
        <v>219.2</v>
      </c>
      <c r="D26" s="407">
        <f>'Pro-Forma Cap Table'!G10</f>
        <v>219.2</v>
      </c>
      <c r="E26" s="407">
        <f>'Pro-Forma Cap Table'!G10</f>
        <v>219.2</v>
      </c>
    </row>
    <row r="27" spans="2:6" ht="13.5" customHeight="1">
      <c r="B27" s="187" t="s">
        <v>359</v>
      </c>
      <c r="C27" s="408">
        <f>'Pro-Forma Cap Table'!G11</f>
        <v>1764</v>
      </c>
      <c r="D27" s="408">
        <f>'Pro-Forma Cap Table'!G11</f>
        <v>1764</v>
      </c>
      <c r="E27" s="408">
        <f>'Pro-Forma Cap Table'!G11</f>
        <v>1764</v>
      </c>
    </row>
    <row r="28" spans="2:6" ht="13.5" customHeight="1">
      <c r="B28" s="187" t="s">
        <v>360</v>
      </c>
      <c r="C28" s="407">
        <f>SUM(C26:C27)</f>
        <v>1983.2</v>
      </c>
      <c r="D28" s="407">
        <f t="shared" ref="D28:E28" si="3">SUM(D26:D27)</f>
        <v>1983.2</v>
      </c>
      <c r="E28" s="407">
        <f t="shared" si="3"/>
        <v>1983.2</v>
      </c>
    </row>
    <row r="29" spans="2:6" ht="13.5" customHeight="1">
      <c r="B29" s="187" t="s">
        <v>361</v>
      </c>
      <c r="C29" s="413">
        <f>C28/SUM('Pro-Forma Cap Table'!$G$10:$G$11)</f>
        <v>1</v>
      </c>
      <c r="D29" s="413">
        <f>D28/SUM('Pro-Forma Cap Table'!$G$10:$G$11)</f>
        <v>1</v>
      </c>
      <c r="E29" s="413">
        <f>E28/SUM('Pro-Forma Cap Table'!$G$10:$G$11)</f>
        <v>1</v>
      </c>
    </row>
    <row r="30" spans="2:6" ht="13.5" customHeight="1">
      <c r="B30" s="187"/>
      <c r="C30" s="414"/>
      <c r="D30" s="414"/>
      <c r="E30" s="414"/>
    </row>
    <row r="31" spans="2:6" ht="13.5" customHeight="1">
      <c r="B31" s="411" t="s">
        <v>362</v>
      </c>
      <c r="C31" s="412"/>
      <c r="D31" s="412"/>
      <c r="E31" s="412"/>
    </row>
    <row r="32" spans="2:6" ht="13.5" customHeight="1">
      <c r="B32" s="187" t="s">
        <v>237</v>
      </c>
      <c r="C32" s="407">
        <f>0</f>
        <v>0</v>
      </c>
      <c r="D32" s="407">
        <f>0</f>
        <v>0</v>
      </c>
      <c r="E32" s="407">
        <f>0</f>
        <v>0</v>
      </c>
      <c r="F32" s="414"/>
    </row>
    <row r="33" spans="2:6" ht="13.5" customHeight="1">
      <c r="B33" s="187" t="s">
        <v>363</v>
      </c>
      <c r="C33" s="408">
        <f ca="1">C10-C28</f>
        <v>1392.0646815218759</v>
      </c>
      <c r="D33" s="408">
        <f>'Pro-Forma Cap Table'!G12</f>
        <v>1500</v>
      </c>
      <c r="E33" s="408">
        <f>'Pro-Forma Cap Table'!G12</f>
        <v>1500</v>
      </c>
    </row>
    <row r="34" spans="2:6" ht="13.5" customHeight="1">
      <c r="B34" s="187" t="s">
        <v>364</v>
      </c>
      <c r="C34" s="407">
        <f>'Pro-Forma Cap Table'!G12</f>
        <v>1500</v>
      </c>
      <c r="D34" s="407">
        <f>'Pro-Forma Cap Table'!G12</f>
        <v>1500</v>
      </c>
      <c r="E34" s="407">
        <f>'Pro-Forma Cap Table'!G12</f>
        <v>1500</v>
      </c>
    </row>
    <row r="35" spans="2:6" ht="13.5" customHeight="1">
      <c r="B35" s="187" t="s">
        <v>365</v>
      </c>
      <c r="C35" s="413">
        <f>0</f>
        <v>0</v>
      </c>
      <c r="D35" s="413">
        <f>0</f>
        <v>0</v>
      </c>
      <c r="E35" s="413">
        <f>0</f>
        <v>0</v>
      </c>
    </row>
    <row r="36" spans="2:6" ht="13.5" customHeight="1">
      <c r="B36" s="187" t="s">
        <v>366</v>
      </c>
      <c r="C36" s="414">
        <f>0</f>
        <v>0</v>
      </c>
      <c r="D36" s="414">
        <v>0</v>
      </c>
      <c r="E36" s="414">
        <f>0</f>
        <v>0</v>
      </c>
    </row>
    <row r="37" spans="2:6" ht="13.5" customHeight="1">
      <c r="B37" s="187" t="s">
        <v>367</v>
      </c>
      <c r="C37" s="413">
        <f ca="1">C33/'Pro-Forma Cap Table'!$G$12</f>
        <v>0.92804312101458386</v>
      </c>
      <c r="D37" s="413">
        <f>D34/'Pro-Forma Cap Table'!$G$12</f>
        <v>1</v>
      </c>
      <c r="E37" s="413">
        <f>E34/'Pro-Forma Cap Table'!$G$12</f>
        <v>1</v>
      </c>
    </row>
    <row r="38" spans="2:6" ht="13.5" customHeight="1">
      <c r="B38" s="187"/>
      <c r="C38" s="187"/>
      <c r="D38" s="187"/>
      <c r="E38" s="187"/>
    </row>
    <row r="39" spans="2:6" ht="15.75" customHeight="1">
      <c r="B39" s="415" t="s">
        <v>368</v>
      </c>
      <c r="C39" s="412"/>
      <c r="D39" s="412"/>
      <c r="E39" s="412"/>
    </row>
    <row r="40" spans="2:6" ht="13.5" customHeight="1">
      <c r="B40" s="416" t="s">
        <v>369</v>
      </c>
      <c r="C40" s="413">
        <f>0</f>
        <v>0</v>
      </c>
      <c r="D40" s="413">
        <f>0</f>
        <v>0</v>
      </c>
      <c r="E40" s="413">
        <f>0</f>
        <v>0</v>
      </c>
    </row>
    <row r="41" spans="2:6" ht="13.5" customHeight="1">
      <c r="B41" s="416" t="s">
        <v>370</v>
      </c>
      <c r="C41" s="407">
        <f>0</f>
        <v>0</v>
      </c>
      <c r="D41" s="407">
        <f>'Ex 3 Cap Table'!G16</f>
        <v>1100</v>
      </c>
      <c r="E41" s="407">
        <f>'Ex 3 Cap Table'!G16</f>
        <v>1100</v>
      </c>
      <c r="F41" s="410" t="s">
        <v>371</v>
      </c>
    </row>
    <row r="42" spans="2:6" ht="13.5" customHeight="1">
      <c r="B42" s="416" t="s">
        <v>372</v>
      </c>
      <c r="C42" s="413">
        <f>0</f>
        <v>0</v>
      </c>
      <c r="D42" s="413">
        <f ca="1">D41/D19</f>
        <v>0.50075927304399759</v>
      </c>
      <c r="E42" s="413">
        <f ca="1">E41/E19</f>
        <v>0.2909554339749445</v>
      </c>
    </row>
    <row r="43" spans="2:6" ht="13.5" customHeight="1">
      <c r="B43" s="416" t="s">
        <v>373</v>
      </c>
      <c r="C43" s="417">
        <f>0</f>
        <v>0</v>
      </c>
      <c r="D43" s="417">
        <f>D41/'Ex 3 Cap Table'!$G$16</f>
        <v>1</v>
      </c>
      <c r="E43" s="417">
        <f>E41/'Ex 3 Cap Table'!$G$16</f>
        <v>1</v>
      </c>
      <c r="F43" s="410" t="s">
        <v>374</v>
      </c>
    </row>
    <row r="45" spans="2:6" ht="13.5" customHeight="1">
      <c r="B45" s="411" t="s">
        <v>375</v>
      </c>
      <c r="C45" s="412"/>
      <c r="D45" s="412"/>
      <c r="E45" s="412"/>
    </row>
    <row r="46" spans="2:6" ht="13.5" customHeight="1">
      <c r="B46" s="416" t="s">
        <v>376</v>
      </c>
      <c r="C46" s="407">
        <f>0</f>
        <v>0</v>
      </c>
      <c r="D46" s="407">
        <f ca="1">D19-D41-D52</f>
        <v>446.66426407514973</v>
      </c>
      <c r="E46" s="407">
        <f ca="1">E19-E41-E52</f>
        <v>2030.6477266024394</v>
      </c>
    </row>
    <row r="47" spans="2:6" ht="13.5" customHeight="1">
      <c r="B47" s="416" t="s">
        <v>377</v>
      </c>
      <c r="C47" s="413">
        <f>0</f>
        <v>0</v>
      </c>
      <c r="D47" s="413">
        <f ca="1">D46/D19</f>
        <v>0.20333752015727652</v>
      </c>
      <c r="E47" s="413">
        <f ca="1">E46/E19</f>
        <v>0.5371163550398611</v>
      </c>
    </row>
    <row r="48" spans="2:6" ht="13.5" customHeight="1">
      <c r="B48" s="416" t="s">
        <v>378</v>
      </c>
      <c r="C48" s="407">
        <f>0</f>
        <v>0</v>
      </c>
      <c r="D48" s="407">
        <f>0</f>
        <v>0</v>
      </c>
      <c r="E48" s="407">
        <f>0</f>
        <v>0</v>
      </c>
    </row>
    <row r="50" spans="2:6" ht="13.5" customHeight="1">
      <c r="B50" s="411" t="s">
        <v>379</v>
      </c>
      <c r="C50" s="412"/>
      <c r="D50" s="412"/>
      <c r="E50" s="412"/>
    </row>
    <row r="52" spans="2:6" ht="12.75" customHeight="1">
      <c r="B52" s="160" t="s">
        <v>351</v>
      </c>
      <c r="C52" s="407">
        <v>650</v>
      </c>
      <c r="D52" s="407">
        <v>650</v>
      </c>
      <c r="E52" s="407">
        <v>650</v>
      </c>
    </row>
    <row r="53" spans="2:6" ht="12.75" customHeight="1">
      <c r="B53" s="160" t="s">
        <v>380</v>
      </c>
      <c r="C53" s="413">
        <f>0</f>
        <v>0</v>
      </c>
      <c r="D53" s="413">
        <f ca="1">D52/D19</f>
        <v>0.29590320679872589</v>
      </c>
      <c r="E53" s="413">
        <f ca="1">E52/E19</f>
        <v>0.17192821098519445</v>
      </c>
    </row>
    <row r="54" spans="2:6" ht="12.75" customHeight="1">
      <c r="B54" s="160" t="s">
        <v>381</v>
      </c>
      <c r="C54" s="407">
        <f>0</f>
        <v>0</v>
      </c>
      <c r="D54" s="407">
        <f ca="1">D52/D53</f>
        <v>2196.6642640751497</v>
      </c>
      <c r="E54" s="407">
        <f ca="1">E52/E53</f>
        <v>3780.6477266024399</v>
      </c>
      <c r="F54" s="410" t="s">
        <v>382</v>
      </c>
    </row>
    <row r="56" spans="2:6" ht="13.5" customHeight="1">
      <c r="B56" s="411" t="s">
        <v>383</v>
      </c>
    </row>
    <row r="57" spans="2:6" ht="12.75" customHeight="1">
      <c r="B57" s="160" t="s">
        <v>384</v>
      </c>
      <c r="C57" s="149">
        <f>C21</f>
        <v>0</v>
      </c>
      <c r="D57" s="149">
        <f t="shared" ref="D57:E57" ca="1" si="4">D21</f>
        <v>0.29590320679872589</v>
      </c>
      <c r="E57" s="149">
        <f t="shared" ca="1" si="4"/>
        <v>0.17192821098519445</v>
      </c>
    </row>
    <row r="58" spans="2:6" ht="12.75" customHeight="1">
      <c r="B58" s="160" t="s">
        <v>385</v>
      </c>
      <c r="C58" s="482">
        <f>C42</f>
        <v>0</v>
      </c>
      <c r="D58" s="482">
        <f t="shared" ref="D58:E58" ca="1" si="5">D42</f>
        <v>0.50075927304399759</v>
      </c>
      <c r="E58" s="482">
        <f t="shared" ca="1" si="5"/>
        <v>0.2909554339749445</v>
      </c>
    </row>
    <row r="59" spans="2:6" ht="12.75" customHeight="1">
      <c r="B59" s="160" t="s">
        <v>386</v>
      </c>
      <c r="C59" s="482">
        <f>C47</f>
        <v>0</v>
      </c>
      <c r="D59" s="482">
        <f t="shared" ref="D59:E59" ca="1" si="6">D47</f>
        <v>0.20333752015727652</v>
      </c>
      <c r="E59" s="482">
        <f t="shared" ca="1" si="6"/>
        <v>0.5371163550398611</v>
      </c>
    </row>
    <row r="60" spans="2:6" ht="12.75" customHeight="1">
      <c r="B60" s="160" t="s">
        <v>387</v>
      </c>
      <c r="C60" s="345">
        <f>SUM(C57:C59)</f>
        <v>0</v>
      </c>
      <c r="D60" s="345">
        <f ca="1">SUM(D57:D59)</f>
        <v>1</v>
      </c>
      <c r="E60" s="345">
        <f ca="1">SUM(E57:E59)</f>
        <v>1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topLeftCell="A77" zoomScaleNormal="100" workbookViewId="0">
      <selection activeCell="T43" sqref="T43"/>
    </sheetView>
  </sheetViews>
  <sheetFormatPr defaultColWidth="8.7109375" defaultRowHeight="12.75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David C.</dc:creator>
  <cp:keywords/>
  <dc:description/>
  <cp:lastModifiedBy/>
  <cp:revision>0</cp:revision>
  <dcterms:created xsi:type="dcterms:W3CDTF">2013-07-24T17:16:30Z</dcterms:created>
  <dcterms:modified xsi:type="dcterms:W3CDTF">2026-04-29T17:56:32Z</dcterms:modified>
  <cp:category/>
  <cp:contentStatus/>
</cp:coreProperties>
</file>